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7571"/>
  <workbookPr/>
  <mc:AlternateContent xmlns:mc="http://schemas.openxmlformats.org/markup-compatibility/2006">
    <mc:Choice Requires="x15">
      <x15ac:absPath xmlns:x15ac="http://schemas.microsoft.com/office/spreadsheetml/2010/11/ac" url="C:\Users\REA\Desktop\energizing economies\"/>
    </mc:Choice>
  </mc:AlternateContent>
  <bookViews>
    <workbookView xWindow="0" yWindow="0" windowWidth="20490" windowHeight="7530" activeTab="4"/>
  </bookViews>
  <sheets>
    <sheet name="Overview" sheetId="10" r:id="rId1"/>
    <sheet name="Input Technical Data" sheetId="12" r:id="rId2"/>
    <sheet name="Input- Cost" sheetId="11" r:id="rId3"/>
    <sheet name="Shops calc" sheetId="9" state="hidden" r:id="rId4"/>
    <sheet name="Unit Economics" sheetId="1" r:id="rId5"/>
    <sheet name="Financials" sheetId="4" r:id="rId6"/>
  </sheets>
  <externalReferences>
    <externalReference r:id="rId7"/>
  </externalReferences>
  <definedNames>
    <definedName name="Inclusion">'[1]Product Pricing Live'!$B$70:$B$71</definedName>
    <definedName name="System_Discussed" localSheetId="3">#REF!</definedName>
    <definedName name="System_Discussed">#REF!</definedName>
    <definedName name="Systems" localSheetId="3">#REF!</definedName>
    <definedName name="Systems">#REF!</definedName>
  </definedNames>
  <calcPr calcId="179017" concurrentCalc="0"/>
  <fileRecoveryPr autoRecover="0"/>
  <extLst>
    <ext xmlns:x14="http://schemas.microsoft.com/office/spreadsheetml/2009/9/main" uri="{79F54976-1DA5-4618-B147-4CDE4B953A38}">
      <x14:workbookPr defaultImageDpi="32767"/>
    </ext>
    <ext xmlns:x15="http://schemas.microsoft.com/office/spreadsheetml/2010/11/main" uri="{140A7094-0E35-4892-8432-C4D2E57EDEB5}">
      <x15:workbookPr chartTrackingRefBase="1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12" i="11" l="1"/>
  <c r="F31" i="1"/>
  <c r="F30" i="1"/>
  <c r="F33" i="1"/>
  <c r="C36" i="4"/>
  <c r="E36" i="4"/>
  <c r="F36" i="4"/>
  <c r="G36" i="4"/>
  <c r="H36" i="4"/>
  <c r="F11" i="1"/>
  <c r="F12" i="1"/>
  <c r="F13" i="1"/>
  <c r="F14" i="1"/>
  <c r="F15" i="1"/>
  <c r="F17" i="1"/>
  <c r="F18" i="1"/>
  <c r="F20" i="1"/>
  <c r="F22" i="1"/>
  <c r="F24" i="1"/>
  <c r="F25" i="1"/>
  <c r="H196" i="4"/>
  <c r="E31" i="1"/>
  <c r="E30" i="1"/>
  <c r="E33" i="1"/>
  <c r="E35" i="4"/>
  <c r="F35" i="4"/>
  <c r="G35" i="4"/>
  <c r="H35" i="4"/>
  <c r="E11" i="1"/>
  <c r="E12" i="1"/>
  <c r="E13" i="1"/>
  <c r="E14" i="1"/>
  <c r="E15" i="1"/>
  <c r="E17" i="1"/>
  <c r="E18" i="1"/>
  <c r="E20" i="1"/>
  <c r="E22" i="1"/>
  <c r="E24" i="1"/>
  <c r="E25" i="1"/>
  <c r="H195" i="4"/>
  <c r="G196" i="4"/>
  <c r="G195" i="4"/>
  <c r="F196" i="4"/>
  <c r="F195" i="4"/>
  <c r="E196" i="4"/>
  <c r="E195" i="4"/>
  <c r="E197" i="4"/>
  <c r="E54" i="1"/>
  <c r="F60" i="1"/>
  <c r="F61" i="1"/>
  <c r="F62" i="1"/>
  <c r="I62" i="1"/>
  <c r="E199" i="4"/>
  <c r="E50" i="4"/>
  <c r="A14" i="4"/>
  <c r="A16" i="4"/>
  <c r="A17" i="4"/>
  <c r="A18" i="4"/>
  <c r="F197" i="4"/>
  <c r="G197" i="4"/>
  <c r="H197" i="4"/>
  <c r="I197" i="4"/>
  <c r="I110" i="4"/>
  <c r="R9" i="4"/>
  <c r="E38" i="1"/>
  <c r="E36" i="1"/>
  <c r="E39" i="1"/>
  <c r="E37" i="1"/>
  <c r="E41" i="1"/>
  <c r="E42" i="1"/>
  <c r="E201" i="4"/>
  <c r="F38" i="1"/>
  <c r="F36" i="1"/>
  <c r="F39" i="1"/>
  <c r="F37" i="1"/>
  <c r="F41" i="1"/>
  <c r="F42" i="1"/>
  <c r="E202" i="4"/>
  <c r="E203" i="4"/>
  <c r="F201" i="4"/>
  <c r="F202" i="4"/>
  <c r="F203" i="4"/>
  <c r="G201" i="4"/>
  <c r="G202" i="4"/>
  <c r="G203" i="4"/>
  <c r="H201" i="4"/>
  <c r="H202" i="4"/>
  <c r="H203" i="4"/>
  <c r="I203" i="4"/>
  <c r="I112" i="4"/>
  <c r="R10" i="4"/>
  <c r="I20" i="4"/>
  <c r="I18" i="4"/>
  <c r="I17" i="4"/>
  <c r="I16" i="4"/>
  <c r="I14" i="4"/>
  <c r="I13" i="4"/>
  <c r="E61" i="1"/>
  <c r="E60" i="1"/>
  <c r="F56" i="1"/>
  <c r="F58" i="1"/>
  <c r="E56" i="1"/>
  <c r="E58" i="1"/>
  <c r="E57" i="1"/>
  <c r="F57" i="1"/>
  <c r="E53" i="1"/>
  <c r="F53" i="1"/>
  <c r="F54" i="1"/>
  <c r="F52" i="1"/>
  <c r="E52" i="1"/>
  <c r="E50" i="1"/>
  <c r="F50" i="1"/>
  <c r="F49" i="1"/>
  <c r="E49" i="1"/>
  <c r="E44" i="1"/>
  <c r="E45" i="1"/>
  <c r="E47" i="1"/>
  <c r="F45" i="1"/>
  <c r="F44" i="1"/>
  <c r="F6" i="1"/>
  <c r="F7" i="1"/>
  <c r="F8" i="1"/>
  <c r="F9" i="1"/>
  <c r="E9" i="1"/>
  <c r="E8" i="1"/>
  <c r="E7" i="1"/>
  <c r="E6" i="1"/>
  <c r="J10" i="4"/>
  <c r="I166" i="4"/>
  <c r="I11" i="4"/>
  <c r="J11" i="4"/>
  <c r="I10" i="4"/>
  <c r="H57" i="4"/>
  <c r="G57" i="4"/>
  <c r="F57" i="4"/>
  <c r="E57" i="4"/>
  <c r="D171" i="4"/>
  <c r="E58" i="9"/>
  <c r="E57" i="9"/>
  <c r="E56" i="9"/>
  <c r="E55" i="9"/>
  <c r="E59" i="9"/>
  <c r="E38" i="9"/>
  <c r="E37" i="9"/>
  <c r="J36" i="9"/>
  <c r="I36" i="9"/>
  <c r="E36" i="9"/>
  <c r="E35" i="9"/>
  <c r="E39" i="9"/>
  <c r="K35" i="9"/>
  <c r="K36" i="9"/>
  <c r="J26" i="9"/>
  <c r="M26" i="9"/>
  <c r="J25" i="9"/>
  <c r="M25" i="9"/>
  <c r="J24" i="9"/>
  <c r="M24" i="9"/>
  <c r="E20" i="9"/>
  <c r="E19" i="9"/>
  <c r="E18" i="9"/>
  <c r="E17" i="9"/>
  <c r="O15" i="9"/>
  <c r="N15" i="9"/>
  <c r="M15" i="9"/>
  <c r="O14" i="9"/>
  <c r="N14" i="9"/>
  <c r="O13" i="9"/>
  <c r="N13" i="9"/>
  <c r="C12" i="9"/>
  <c r="J35" i="9"/>
  <c r="M13" i="9"/>
  <c r="C28" i="9"/>
  <c r="C29" i="9"/>
  <c r="M14" i="9"/>
  <c r="O16" i="9"/>
  <c r="N16" i="9"/>
  <c r="D12" i="9"/>
  <c r="D28" i="9"/>
  <c r="D29" i="9"/>
  <c r="D48" i="9"/>
  <c r="D49" i="9"/>
  <c r="E48" i="9"/>
  <c r="E49" i="9"/>
  <c r="E28" i="9"/>
  <c r="E29" i="9"/>
  <c r="E12" i="9"/>
  <c r="E21" i="9"/>
  <c r="J15" i="9"/>
  <c r="C48" i="9"/>
  <c r="C49" i="9"/>
  <c r="D50" i="9"/>
  <c r="I35" i="9"/>
  <c r="N25" i="9"/>
  <c r="D7" i="9"/>
  <c r="D8" i="9"/>
  <c r="D10" i="9"/>
  <c r="C10" i="9"/>
  <c r="N26" i="9"/>
  <c r="E10" i="9"/>
  <c r="N24" i="9"/>
  <c r="C7" i="9"/>
  <c r="E30" i="9"/>
  <c r="E50" i="9"/>
  <c r="I15" i="9"/>
  <c r="C30" i="9"/>
  <c r="I14" i="9"/>
  <c r="H15" i="9"/>
  <c r="C50" i="9"/>
  <c r="E7" i="9"/>
  <c r="E8" i="9"/>
  <c r="J14" i="9"/>
  <c r="D30" i="9"/>
  <c r="H14" i="9"/>
  <c r="C8" i="9"/>
  <c r="C9" i="9"/>
  <c r="H13" i="9"/>
  <c r="H16" i="9"/>
  <c r="E11" i="9"/>
  <c r="D9" i="9"/>
  <c r="I13" i="9"/>
  <c r="I16" i="9"/>
  <c r="D11" i="9"/>
  <c r="C11" i="9"/>
  <c r="E9" i="9"/>
  <c r="J13" i="9"/>
  <c r="J16" i="9"/>
  <c r="I46" i="4"/>
  <c r="I171" i="4"/>
  <c r="J166" i="4"/>
  <c r="K166" i="4"/>
  <c r="L166" i="4"/>
  <c r="M166" i="4"/>
  <c r="N166" i="4"/>
  <c r="O166" i="4"/>
  <c r="P166" i="4"/>
  <c r="Q166" i="4"/>
  <c r="R166" i="4"/>
  <c r="J111" i="4"/>
  <c r="K111" i="4"/>
  <c r="L111" i="4"/>
  <c r="M111" i="4"/>
  <c r="N111" i="4"/>
  <c r="O111" i="4"/>
  <c r="P111" i="4"/>
  <c r="Q111" i="4"/>
  <c r="R111" i="4"/>
  <c r="I130" i="4"/>
  <c r="A8" i="4"/>
  <c r="A9" i="4"/>
  <c r="A10" i="4"/>
  <c r="I62" i="4"/>
  <c r="I124" i="4"/>
  <c r="J110" i="4"/>
  <c r="J62" i="4"/>
  <c r="J124" i="4"/>
  <c r="K110" i="4"/>
  <c r="K62" i="4"/>
  <c r="K124" i="4"/>
  <c r="L110" i="4"/>
  <c r="L62" i="4"/>
  <c r="L124" i="4"/>
  <c r="M110" i="4"/>
  <c r="M62" i="4"/>
  <c r="M124" i="4"/>
  <c r="N110" i="4"/>
  <c r="N62" i="4"/>
  <c r="N124" i="4"/>
  <c r="O110" i="4"/>
  <c r="O62" i="4"/>
  <c r="O124" i="4"/>
  <c r="P110" i="4"/>
  <c r="P62" i="4"/>
  <c r="P124" i="4"/>
  <c r="Q110" i="4"/>
  <c r="Q62" i="4"/>
  <c r="Q124" i="4"/>
  <c r="R110" i="4"/>
  <c r="J193" i="4"/>
  <c r="K193" i="4"/>
  <c r="L193" i="4"/>
  <c r="M193" i="4"/>
  <c r="N193" i="4"/>
  <c r="O193" i="4"/>
  <c r="P193" i="4"/>
  <c r="Q193" i="4"/>
  <c r="R193" i="4"/>
  <c r="R62" i="4"/>
  <c r="R124" i="4"/>
  <c r="J144" i="4"/>
  <c r="K144" i="4"/>
  <c r="L144" i="4"/>
  <c r="M144" i="4"/>
  <c r="N144" i="4"/>
  <c r="O144" i="4"/>
  <c r="P144" i="4"/>
  <c r="Q144" i="4"/>
  <c r="R144" i="4"/>
  <c r="J179" i="4"/>
  <c r="K179" i="4"/>
  <c r="L179" i="4"/>
  <c r="M179" i="4"/>
  <c r="N179" i="4"/>
  <c r="O179" i="4"/>
  <c r="P179" i="4"/>
  <c r="Q179" i="4"/>
  <c r="R179" i="4"/>
  <c r="J30" i="4"/>
  <c r="K30" i="4"/>
  <c r="L30" i="4"/>
  <c r="M30" i="4"/>
  <c r="N30" i="4"/>
  <c r="O30" i="4"/>
  <c r="P30" i="4"/>
  <c r="Q30" i="4"/>
  <c r="R30" i="4"/>
  <c r="J100" i="4"/>
  <c r="K100" i="4"/>
  <c r="L100" i="4"/>
  <c r="M100" i="4"/>
  <c r="N100" i="4"/>
  <c r="O100" i="4"/>
  <c r="P100" i="4"/>
  <c r="Q100" i="4"/>
  <c r="R100" i="4"/>
  <c r="F100" i="4"/>
  <c r="G100" i="4"/>
  <c r="H100" i="4"/>
  <c r="F70" i="4"/>
  <c r="G70" i="4"/>
  <c r="H70" i="4"/>
  <c r="J162" i="4"/>
  <c r="K162" i="4"/>
  <c r="L162" i="4"/>
  <c r="M162" i="4"/>
  <c r="N162" i="4"/>
  <c r="O162" i="4"/>
  <c r="P162" i="4"/>
  <c r="Q162" i="4"/>
  <c r="R162" i="4"/>
  <c r="J70" i="4"/>
  <c r="K70" i="4"/>
  <c r="L70" i="4"/>
  <c r="M70" i="4"/>
  <c r="N70" i="4"/>
  <c r="O70" i="4"/>
  <c r="P70" i="4"/>
  <c r="Q70" i="4"/>
  <c r="R70" i="4"/>
  <c r="F30" i="4"/>
  <c r="G30" i="4"/>
  <c r="H30" i="4"/>
  <c r="E62" i="1"/>
  <c r="E64" i="1"/>
  <c r="F64" i="1"/>
  <c r="I122" i="4"/>
  <c r="I57" i="4"/>
  <c r="I121" i="4"/>
  <c r="I199" i="4"/>
  <c r="I111" i="4"/>
  <c r="R11" i="4"/>
  <c r="I64" i="1"/>
  <c r="R18" i="4"/>
  <c r="E206" i="4"/>
  <c r="E55" i="4"/>
  <c r="H206" i="4"/>
  <c r="G206" i="4"/>
  <c r="F206" i="4"/>
  <c r="F55" i="4"/>
  <c r="F47" i="1"/>
  <c r="I206" i="4"/>
  <c r="I55" i="4"/>
  <c r="I77" i="4"/>
  <c r="G55" i="4"/>
  <c r="E38" i="4"/>
  <c r="F38" i="4"/>
  <c r="E39" i="4"/>
  <c r="H55" i="4"/>
  <c r="J206" i="4"/>
  <c r="F39" i="4"/>
  <c r="F207" i="4"/>
  <c r="E205" i="4"/>
  <c r="E54" i="4"/>
  <c r="I196" i="4"/>
  <c r="I202" i="4"/>
  <c r="E207" i="4"/>
  <c r="E56" i="4"/>
  <c r="E40" i="4"/>
  <c r="E48" i="4"/>
  <c r="K206" i="4"/>
  <c r="J55" i="4"/>
  <c r="J77" i="4"/>
  <c r="G39" i="4"/>
  <c r="F40" i="4"/>
  <c r="G38" i="4"/>
  <c r="F205" i="4"/>
  <c r="F54" i="4"/>
  <c r="G205" i="4"/>
  <c r="F50" i="4"/>
  <c r="G50" i="4"/>
  <c r="H50" i="4"/>
  <c r="O50" i="4"/>
  <c r="E44" i="4"/>
  <c r="E47" i="4"/>
  <c r="E49" i="4"/>
  <c r="F44" i="4"/>
  <c r="F49" i="4"/>
  <c r="F48" i="4"/>
  <c r="F47" i="4"/>
  <c r="H38" i="4"/>
  <c r="I38" i="4"/>
  <c r="I35" i="4"/>
  <c r="J35" i="4"/>
  <c r="K35" i="4"/>
  <c r="L35" i="4"/>
  <c r="M35" i="4"/>
  <c r="N35" i="4"/>
  <c r="O35" i="4"/>
  <c r="P35" i="4"/>
  <c r="Q35" i="4"/>
  <c r="R35" i="4"/>
  <c r="K55" i="4"/>
  <c r="K77" i="4"/>
  <c r="L206" i="4"/>
  <c r="J36" i="4"/>
  <c r="K36" i="4"/>
  <c r="L36" i="4"/>
  <c r="M36" i="4"/>
  <c r="N36" i="4"/>
  <c r="O36" i="4"/>
  <c r="P36" i="4"/>
  <c r="Q36" i="4"/>
  <c r="R36" i="4"/>
  <c r="I36" i="4"/>
  <c r="H39" i="4"/>
  <c r="G40" i="4"/>
  <c r="F56" i="4"/>
  <c r="I195" i="4"/>
  <c r="H205" i="4"/>
  <c r="I205" i="4"/>
  <c r="I54" i="4"/>
  <c r="H207" i="4"/>
  <c r="H56" i="4"/>
  <c r="G207" i="4"/>
  <c r="I201" i="4"/>
  <c r="M50" i="4"/>
  <c r="L50" i="4"/>
  <c r="Q50" i="4"/>
  <c r="N50" i="4"/>
  <c r="K50" i="4"/>
  <c r="I50" i="4"/>
  <c r="R50" i="4"/>
  <c r="J50" i="4"/>
  <c r="P50" i="4"/>
  <c r="E52" i="4"/>
  <c r="E58" i="4"/>
  <c r="E60" i="4"/>
  <c r="E64" i="4"/>
  <c r="G54" i="4"/>
  <c r="G47" i="4"/>
  <c r="G49" i="4"/>
  <c r="G48" i="4"/>
  <c r="G44" i="4"/>
  <c r="M206" i="4"/>
  <c r="L55" i="4"/>
  <c r="L77" i="4"/>
  <c r="J39" i="4"/>
  <c r="K39" i="4"/>
  <c r="L39" i="4"/>
  <c r="M39" i="4"/>
  <c r="N39" i="4"/>
  <c r="O39" i="4"/>
  <c r="P39" i="4"/>
  <c r="Q39" i="4"/>
  <c r="R39" i="4"/>
  <c r="I39" i="4"/>
  <c r="I40" i="4"/>
  <c r="J38" i="4"/>
  <c r="H40" i="4"/>
  <c r="F52" i="4"/>
  <c r="I118" i="4"/>
  <c r="N9" i="4"/>
  <c r="J207" i="4"/>
  <c r="J114" i="4"/>
  <c r="J116" i="4"/>
  <c r="G56" i="4"/>
  <c r="I207" i="4"/>
  <c r="R16" i="4"/>
  <c r="G52" i="4"/>
  <c r="I47" i="4"/>
  <c r="I44" i="4"/>
  <c r="I185" i="4"/>
  <c r="I73" i="4"/>
  <c r="F58" i="4"/>
  <c r="F60" i="4"/>
  <c r="F64" i="4"/>
  <c r="H47" i="4"/>
  <c r="H48" i="4"/>
  <c r="I48" i="4"/>
  <c r="H44" i="4"/>
  <c r="H49" i="4"/>
  <c r="I49" i="4"/>
  <c r="I76" i="4"/>
  <c r="K38" i="4"/>
  <c r="J40" i="4"/>
  <c r="N206" i="4"/>
  <c r="M55" i="4"/>
  <c r="M77" i="4"/>
  <c r="J205" i="4"/>
  <c r="H54" i="4"/>
  <c r="I90" i="4"/>
  <c r="J90" i="4"/>
  <c r="J56" i="4"/>
  <c r="I136" i="4"/>
  <c r="K207" i="4"/>
  <c r="K114" i="4"/>
  <c r="K116" i="4"/>
  <c r="I114" i="4"/>
  <c r="I116" i="4"/>
  <c r="I56" i="4"/>
  <c r="G60" i="4"/>
  <c r="G64" i="4"/>
  <c r="H52" i="4"/>
  <c r="H58" i="4"/>
  <c r="H60" i="4"/>
  <c r="H64" i="4"/>
  <c r="N55" i="4"/>
  <c r="N77" i="4"/>
  <c r="O206" i="4"/>
  <c r="L38" i="4"/>
  <c r="K40" i="4"/>
  <c r="I104" i="4"/>
  <c r="I106" i="4"/>
  <c r="I146" i="4"/>
  <c r="I52" i="4"/>
  <c r="J185" i="4"/>
  <c r="J73" i="4"/>
  <c r="J44" i="4"/>
  <c r="J48" i="4"/>
  <c r="J47" i="4"/>
  <c r="J49" i="4"/>
  <c r="K205" i="4"/>
  <c r="J54" i="4"/>
  <c r="J103" i="4"/>
  <c r="L207" i="4"/>
  <c r="L56" i="4"/>
  <c r="K56" i="4"/>
  <c r="I78" i="4"/>
  <c r="J78" i="4"/>
  <c r="I103" i="4"/>
  <c r="I147" i="4"/>
  <c r="I58" i="4"/>
  <c r="I60" i="4"/>
  <c r="J76" i="4"/>
  <c r="O55" i="4"/>
  <c r="O77" i="4"/>
  <c r="P206" i="4"/>
  <c r="J52" i="4"/>
  <c r="J146" i="4"/>
  <c r="K90" i="4"/>
  <c r="M38" i="4"/>
  <c r="L40" i="4"/>
  <c r="K54" i="4"/>
  <c r="L205" i="4"/>
  <c r="J106" i="4"/>
  <c r="K48" i="4"/>
  <c r="K44" i="4"/>
  <c r="K47" i="4"/>
  <c r="K49" i="4"/>
  <c r="K185" i="4"/>
  <c r="K73" i="4"/>
  <c r="K106" i="4"/>
  <c r="M207" i="4"/>
  <c r="M56" i="4"/>
  <c r="L114" i="4"/>
  <c r="L116" i="4"/>
  <c r="K78" i="4"/>
  <c r="K103" i="4"/>
  <c r="K76" i="4"/>
  <c r="I64" i="4"/>
  <c r="I91" i="4"/>
  <c r="I93" i="4"/>
  <c r="I102" i="4"/>
  <c r="I108" i="4"/>
  <c r="I137" i="4"/>
  <c r="I148" i="4"/>
  <c r="P55" i="4"/>
  <c r="P77" i="4"/>
  <c r="Q206" i="4"/>
  <c r="J147" i="4"/>
  <c r="M205" i="4"/>
  <c r="L54" i="4"/>
  <c r="L103" i="4"/>
  <c r="K52" i="4"/>
  <c r="K146" i="4"/>
  <c r="L49" i="4"/>
  <c r="L47" i="4"/>
  <c r="L44" i="4"/>
  <c r="L185" i="4"/>
  <c r="L73" i="4"/>
  <c r="L106" i="4"/>
  <c r="L48" i="4"/>
  <c r="N207" i="4"/>
  <c r="M40" i="4"/>
  <c r="N38" i="4"/>
  <c r="L90" i="4"/>
  <c r="M114" i="4"/>
  <c r="M116" i="4"/>
  <c r="L78" i="4"/>
  <c r="L76" i="4"/>
  <c r="K147" i="4"/>
  <c r="M44" i="4"/>
  <c r="M49" i="4"/>
  <c r="M48" i="4"/>
  <c r="M47" i="4"/>
  <c r="M185" i="4"/>
  <c r="M73" i="4"/>
  <c r="L52" i="4"/>
  <c r="L146" i="4"/>
  <c r="I167" i="4"/>
  <c r="M90" i="4"/>
  <c r="O38" i="4"/>
  <c r="N40" i="4"/>
  <c r="N56" i="4"/>
  <c r="N114" i="4"/>
  <c r="N116" i="4"/>
  <c r="O207" i="4"/>
  <c r="N205" i="4"/>
  <c r="M54" i="4"/>
  <c r="M103" i="4"/>
  <c r="R206" i="4"/>
  <c r="R55" i="4"/>
  <c r="Q55" i="4"/>
  <c r="Q77" i="4"/>
  <c r="M78" i="4"/>
  <c r="N78" i="4"/>
  <c r="R77" i="4"/>
  <c r="O205" i="4"/>
  <c r="N54" i="4"/>
  <c r="N103" i="4"/>
  <c r="N90" i="4"/>
  <c r="M146" i="4"/>
  <c r="M52" i="4"/>
  <c r="M106" i="4"/>
  <c r="N185" i="4"/>
  <c r="N73" i="4"/>
  <c r="N106" i="4"/>
  <c r="N47" i="4"/>
  <c r="N44" i="4"/>
  <c r="N48" i="4"/>
  <c r="N49" i="4"/>
  <c r="I172" i="4"/>
  <c r="I170" i="4"/>
  <c r="M76" i="4"/>
  <c r="P207" i="4"/>
  <c r="O114" i="4"/>
  <c r="O116" i="4"/>
  <c r="O56" i="4"/>
  <c r="O40" i="4"/>
  <c r="P38" i="4"/>
  <c r="L147" i="4"/>
  <c r="O78" i="4"/>
  <c r="N76" i="4"/>
  <c r="I156" i="4"/>
  <c r="N146" i="4"/>
  <c r="N52" i="4"/>
  <c r="Q38" i="4"/>
  <c r="P40" i="4"/>
  <c r="P56" i="4"/>
  <c r="Q207" i="4"/>
  <c r="P114" i="4"/>
  <c r="P116" i="4"/>
  <c r="O54" i="4"/>
  <c r="O103" i="4"/>
  <c r="P205" i="4"/>
  <c r="O44" i="4"/>
  <c r="O49" i="4"/>
  <c r="O48" i="4"/>
  <c r="O47" i="4"/>
  <c r="O185" i="4"/>
  <c r="O73" i="4"/>
  <c r="I120" i="4"/>
  <c r="I173" i="4"/>
  <c r="M147" i="4"/>
  <c r="O90" i="4"/>
  <c r="O76" i="4"/>
  <c r="P78" i="4"/>
  <c r="I83" i="4"/>
  <c r="J169" i="4"/>
  <c r="I126" i="4"/>
  <c r="I128" i="4"/>
  <c r="I131" i="4"/>
  <c r="P47" i="4"/>
  <c r="P48" i="4"/>
  <c r="P44" i="4"/>
  <c r="P185" i="4"/>
  <c r="P73" i="4"/>
  <c r="P106" i="4"/>
  <c r="P49" i="4"/>
  <c r="O52" i="4"/>
  <c r="O146" i="4"/>
  <c r="R38" i="4"/>
  <c r="R40" i="4"/>
  <c r="Q40" i="4"/>
  <c r="I138" i="4"/>
  <c r="P90" i="4"/>
  <c r="O106" i="4"/>
  <c r="P54" i="4"/>
  <c r="P103" i="4"/>
  <c r="Q205" i="4"/>
  <c r="Q56" i="4"/>
  <c r="R207" i="4"/>
  <c r="Q114" i="4"/>
  <c r="Q116" i="4"/>
  <c r="N147" i="4"/>
  <c r="Q78" i="4"/>
  <c r="Q54" i="4"/>
  <c r="Q103" i="4"/>
  <c r="R205" i="4"/>
  <c r="R54" i="4"/>
  <c r="Q47" i="4"/>
  <c r="Q44" i="4"/>
  <c r="Q48" i="4"/>
  <c r="Q185" i="4"/>
  <c r="Q73" i="4"/>
  <c r="Q49" i="4"/>
  <c r="P146" i="4"/>
  <c r="P52" i="4"/>
  <c r="J171" i="4"/>
  <c r="Q90" i="4"/>
  <c r="R44" i="4"/>
  <c r="R48" i="4"/>
  <c r="R185" i="4"/>
  <c r="R73" i="4"/>
  <c r="R47" i="4"/>
  <c r="R49" i="4"/>
  <c r="N11" i="4"/>
  <c r="J130" i="4"/>
  <c r="I72" i="4"/>
  <c r="I80" i="4"/>
  <c r="I88" i="4"/>
  <c r="I153" i="4"/>
  <c r="I155" i="4"/>
  <c r="R56" i="4"/>
  <c r="R114" i="4"/>
  <c r="O147" i="4"/>
  <c r="Q106" i="4"/>
  <c r="P76" i="4"/>
  <c r="J57" i="4"/>
  <c r="J58" i="4"/>
  <c r="J60" i="4"/>
  <c r="J122" i="4"/>
  <c r="R13" i="4"/>
  <c r="Q76" i="4"/>
  <c r="R76" i="4"/>
  <c r="R14" i="4"/>
  <c r="R15" i="4"/>
  <c r="R103" i="4"/>
  <c r="R78" i="4"/>
  <c r="Q52" i="4"/>
  <c r="Q146" i="4"/>
  <c r="R90" i="4"/>
  <c r="R116" i="4"/>
  <c r="R12" i="4"/>
  <c r="P147" i="4"/>
  <c r="R106" i="4"/>
  <c r="R21" i="4"/>
  <c r="I94" i="4"/>
  <c r="I150" i="4"/>
  <c r="I149" i="4"/>
  <c r="R146" i="4"/>
  <c r="R52" i="4"/>
  <c r="J104" i="4"/>
  <c r="I152" i="4"/>
  <c r="J102" i="4"/>
  <c r="J148" i="4"/>
  <c r="J64" i="4"/>
  <c r="J91" i="4"/>
  <c r="J93" i="4"/>
  <c r="R147" i="4"/>
  <c r="Q147" i="4"/>
  <c r="J108" i="4"/>
  <c r="J167" i="4"/>
  <c r="J172" i="4"/>
  <c r="J121" i="4"/>
  <c r="J170" i="4"/>
  <c r="J120" i="4"/>
  <c r="J137" i="4"/>
  <c r="J156" i="4"/>
  <c r="J173" i="4"/>
  <c r="K169" i="4"/>
  <c r="J126" i="4"/>
  <c r="J128" i="4"/>
  <c r="J131" i="4"/>
  <c r="J138" i="4"/>
  <c r="J83" i="4"/>
  <c r="J153" i="4"/>
  <c r="K171" i="4"/>
  <c r="J72" i="4"/>
  <c r="J80" i="4"/>
  <c r="K130" i="4"/>
  <c r="J88" i="4"/>
  <c r="J94" i="4"/>
  <c r="J155" i="4"/>
  <c r="K57" i="4"/>
  <c r="K122" i="4"/>
  <c r="J150" i="4"/>
  <c r="J149" i="4"/>
  <c r="K104" i="4"/>
  <c r="K58" i="4"/>
  <c r="K60" i="4"/>
  <c r="J152" i="4"/>
  <c r="K64" i="4"/>
  <c r="K91" i="4"/>
  <c r="K93" i="4"/>
  <c r="K102" i="4"/>
  <c r="K108" i="4"/>
  <c r="K148" i="4"/>
  <c r="K167" i="4"/>
  <c r="K170" i="4"/>
  <c r="K172" i="4"/>
  <c r="K121" i="4"/>
  <c r="K137" i="4"/>
  <c r="K156" i="4"/>
  <c r="K120" i="4"/>
  <c r="K173" i="4"/>
  <c r="K83" i="4"/>
  <c r="L169" i="4"/>
  <c r="K126" i="4"/>
  <c r="K128" i="4"/>
  <c r="K131" i="4"/>
  <c r="K138" i="4"/>
  <c r="L130" i="4"/>
  <c r="K72" i="4"/>
  <c r="K80" i="4"/>
  <c r="L171" i="4"/>
  <c r="K88" i="4"/>
  <c r="K153" i="4"/>
  <c r="K155" i="4"/>
  <c r="L57" i="4"/>
  <c r="L122" i="4"/>
  <c r="K94" i="4"/>
  <c r="K150" i="4"/>
  <c r="K149" i="4"/>
  <c r="K152" i="4"/>
  <c r="L104" i="4"/>
  <c r="L58" i="4"/>
  <c r="L60" i="4"/>
  <c r="L148" i="4"/>
  <c r="L64" i="4"/>
  <c r="L91" i="4"/>
  <c r="L93" i="4"/>
  <c r="L102" i="4"/>
  <c r="L108" i="4"/>
  <c r="L167" i="4"/>
  <c r="L170" i="4"/>
  <c r="L172" i="4"/>
  <c r="L121" i="4"/>
  <c r="L137" i="4"/>
  <c r="L156" i="4"/>
  <c r="L120" i="4"/>
  <c r="L173" i="4"/>
  <c r="L138" i="4"/>
  <c r="L126" i="4"/>
  <c r="L128" i="4"/>
  <c r="L131" i="4"/>
  <c r="L83" i="4"/>
  <c r="M169" i="4"/>
  <c r="M130" i="4"/>
  <c r="L72" i="4"/>
  <c r="L80" i="4"/>
  <c r="M171" i="4"/>
  <c r="L88" i="4"/>
  <c r="L153" i="4"/>
  <c r="L155" i="4"/>
  <c r="M57" i="4"/>
  <c r="M122" i="4"/>
  <c r="L150" i="4"/>
  <c r="L94" i="4"/>
  <c r="L149" i="4"/>
  <c r="L152" i="4"/>
  <c r="M104" i="4"/>
  <c r="M58" i="4"/>
  <c r="M60" i="4"/>
  <c r="M102" i="4"/>
  <c r="M108" i="4"/>
  <c r="M64" i="4"/>
  <c r="M91" i="4"/>
  <c r="M93" i="4"/>
  <c r="M148" i="4"/>
  <c r="M167" i="4"/>
  <c r="M170" i="4"/>
  <c r="M172" i="4"/>
  <c r="M121" i="4"/>
  <c r="M137" i="4"/>
  <c r="M138" i="4"/>
  <c r="M156" i="4"/>
  <c r="M120" i="4"/>
  <c r="M173" i="4"/>
  <c r="M126" i="4"/>
  <c r="M128" i="4"/>
  <c r="M131" i="4"/>
  <c r="N169" i="4"/>
  <c r="M83" i="4"/>
  <c r="M88" i="4"/>
  <c r="M153" i="4"/>
  <c r="M155" i="4"/>
  <c r="N171" i="4"/>
  <c r="M72" i="4"/>
  <c r="M80" i="4"/>
  <c r="N130" i="4"/>
  <c r="N57" i="4"/>
  <c r="N122" i="4"/>
  <c r="M94" i="4"/>
  <c r="M150" i="4"/>
  <c r="M149" i="4"/>
  <c r="N58" i="4"/>
  <c r="N60" i="4"/>
  <c r="N148" i="4"/>
  <c r="N104" i="4"/>
  <c r="M152" i="4"/>
  <c r="N102" i="4"/>
  <c r="N108" i="4"/>
  <c r="N64" i="4"/>
  <c r="N91" i="4"/>
  <c r="N93" i="4"/>
  <c r="N167" i="4"/>
  <c r="N172" i="4"/>
  <c r="N121" i="4"/>
  <c r="N137" i="4"/>
  <c r="N138" i="4"/>
  <c r="N170" i="4"/>
  <c r="N120" i="4"/>
  <c r="N126" i="4"/>
  <c r="N128" i="4"/>
  <c r="N131" i="4"/>
  <c r="N156" i="4"/>
  <c r="N173" i="4"/>
  <c r="N83" i="4"/>
  <c r="O130" i="4"/>
  <c r="N72" i="4"/>
  <c r="N80" i="4"/>
  <c r="O169" i="4"/>
  <c r="O171" i="4"/>
  <c r="N88" i="4"/>
  <c r="N94" i="4"/>
  <c r="N153" i="4"/>
  <c r="N155" i="4"/>
  <c r="N150" i="4"/>
  <c r="N149" i="4"/>
  <c r="O57" i="4"/>
  <c r="O122" i="4"/>
  <c r="N152" i="4"/>
  <c r="O58" i="4"/>
  <c r="O60" i="4"/>
  <c r="O102" i="4"/>
  <c r="O64" i="4"/>
  <c r="O91" i="4"/>
  <c r="O93" i="4"/>
  <c r="O148" i="4"/>
  <c r="O104" i="4"/>
  <c r="O108" i="4"/>
  <c r="O167" i="4"/>
  <c r="O172" i="4"/>
  <c r="O121" i="4"/>
  <c r="O137" i="4"/>
  <c r="O170" i="4"/>
  <c r="O120" i="4"/>
  <c r="O126" i="4"/>
  <c r="O128" i="4"/>
  <c r="O131" i="4"/>
  <c r="O138" i="4"/>
  <c r="O156" i="4"/>
  <c r="O173" i="4"/>
  <c r="O83" i="4"/>
  <c r="P130" i="4"/>
  <c r="O72" i="4"/>
  <c r="O80" i="4"/>
  <c r="P169" i="4"/>
  <c r="P171" i="4"/>
  <c r="O150" i="4"/>
  <c r="O149" i="4"/>
  <c r="O88" i="4"/>
  <c r="O94" i="4"/>
  <c r="O153" i="4"/>
  <c r="O155" i="4"/>
  <c r="P57" i="4"/>
  <c r="P122" i="4"/>
  <c r="O152" i="4"/>
  <c r="P104" i="4"/>
  <c r="P58" i="4"/>
  <c r="P60" i="4"/>
  <c r="P148" i="4"/>
  <c r="P64" i="4"/>
  <c r="P91" i="4"/>
  <c r="P93" i="4"/>
  <c r="P102" i="4"/>
  <c r="P108" i="4"/>
  <c r="P167" i="4"/>
  <c r="P170" i="4"/>
  <c r="P172" i="4"/>
  <c r="P121" i="4"/>
  <c r="P137" i="4"/>
  <c r="P138" i="4"/>
  <c r="P156" i="4"/>
  <c r="P120" i="4"/>
  <c r="P173" i="4"/>
  <c r="Q169" i="4"/>
  <c r="P126" i="4"/>
  <c r="P128" i="4"/>
  <c r="P131" i="4"/>
  <c r="Q130" i="4"/>
  <c r="P83" i="4"/>
  <c r="P88" i="4"/>
  <c r="P72" i="4"/>
  <c r="P80" i="4"/>
  <c r="P150" i="4"/>
  <c r="Q171" i="4"/>
  <c r="P155" i="4"/>
  <c r="P149" i="4"/>
  <c r="P152" i="4"/>
  <c r="P153" i="4"/>
  <c r="P94" i="4"/>
  <c r="Q57" i="4"/>
  <c r="Q122" i="4"/>
  <c r="Q104" i="4"/>
  <c r="Q58" i="4"/>
  <c r="Q60" i="4"/>
  <c r="Q148" i="4"/>
  <c r="Q64" i="4"/>
  <c r="Q91" i="4"/>
  <c r="Q93" i="4"/>
  <c r="Q102" i="4"/>
  <c r="Q108" i="4"/>
  <c r="Q167" i="4"/>
  <c r="Q172" i="4"/>
  <c r="Q121" i="4"/>
  <c r="Q137" i="4"/>
  <c r="Q138" i="4"/>
  <c r="Q156" i="4"/>
  <c r="Q170" i="4"/>
  <c r="Q120" i="4"/>
  <c r="Q126" i="4"/>
  <c r="Q128" i="4"/>
  <c r="Q131" i="4"/>
  <c r="Q72" i="4"/>
  <c r="Q80" i="4"/>
  <c r="Q173" i="4"/>
  <c r="R169" i="4"/>
  <c r="R171" i="4"/>
  <c r="R130" i="4"/>
  <c r="Q150" i="4"/>
  <c r="Q149" i="4"/>
  <c r="Q83" i="4"/>
  <c r="Q88" i="4"/>
  <c r="Q94" i="4"/>
  <c r="R57" i="4"/>
  <c r="R122" i="4"/>
  <c r="R20" i="4"/>
  <c r="Q152" i="4"/>
  <c r="Q153" i="4"/>
  <c r="Q155" i="4"/>
  <c r="R104" i="4"/>
  <c r="R58" i="4"/>
  <c r="R17" i="4"/>
  <c r="R60" i="4"/>
  <c r="R102" i="4"/>
  <c r="R108" i="4"/>
  <c r="R148" i="4"/>
  <c r="R64" i="4"/>
  <c r="R91" i="4"/>
  <c r="R93" i="4"/>
  <c r="R167" i="4"/>
  <c r="R170" i="4"/>
  <c r="R172" i="4"/>
  <c r="R121" i="4"/>
  <c r="R137" i="4"/>
  <c r="R19" i="4"/>
  <c r="R156" i="4"/>
  <c r="R120" i="4"/>
  <c r="R173" i="4"/>
  <c r="R83" i="4"/>
  <c r="R126" i="4"/>
  <c r="R128" i="4"/>
  <c r="R131" i="4"/>
  <c r="R72" i="4"/>
  <c r="N10" i="4"/>
  <c r="N26" i="4"/>
  <c r="R138" i="4"/>
  <c r="I140" i="4"/>
  <c r="I25" i="4"/>
  <c r="I141" i="4"/>
  <c r="I26" i="4"/>
  <c r="R88" i="4"/>
  <c r="R153" i="4"/>
  <c r="R155" i="4"/>
  <c r="R80" i="4"/>
  <c r="R22" i="4"/>
  <c r="R26" i="4"/>
  <c r="R150" i="4"/>
  <c r="R94" i="4"/>
  <c r="R149" i="4"/>
  <c r="R152" i="4"/>
</calcChain>
</file>

<file path=xl/sharedStrings.xml><?xml version="1.0" encoding="utf-8"?>
<sst xmlns="http://schemas.openxmlformats.org/spreadsheetml/2006/main" count="454" uniqueCount="273">
  <si>
    <t>HS2500+</t>
  </si>
  <si>
    <t>PV power (Wp)</t>
  </si>
  <si>
    <t>Total</t>
  </si>
  <si>
    <t>Pb capacity (kWh)</t>
  </si>
  <si>
    <t>LiFePO4 Capacity (kWh)</t>
  </si>
  <si>
    <t>NGN</t>
  </si>
  <si>
    <t>Interest</t>
  </si>
  <si>
    <t>Total stores</t>
  </si>
  <si>
    <t>No. of units required</t>
  </si>
  <si>
    <t>per month</t>
  </si>
  <si>
    <t>Collection agents</t>
  </si>
  <si>
    <t>No. of stores serviced per agent</t>
  </si>
  <si>
    <t>Number of stores able to power per unit</t>
  </si>
  <si>
    <t>Less: Open shops (no roof for solar)</t>
  </si>
  <si>
    <t>System splits</t>
  </si>
  <si>
    <t>Select Shop Tier</t>
  </si>
  <si>
    <t>Tier I</t>
  </si>
  <si>
    <t>Total shops to be powered</t>
  </si>
  <si>
    <t>Shops to be powered</t>
  </si>
  <si>
    <t>Year 1</t>
  </si>
  <si>
    <t>Year 2</t>
  </si>
  <si>
    <t>Year 3</t>
  </si>
  <si>
    <t>Year 4</t>
  </si>
  <si>
    <t>Year 5</t>
  </si>
  <si>
    <t>Year 6</t>
  </si>
  <si>
    <t>Year 7</t>
  </si>
  <si>
    <t>Year 8</t>
  </si>
  <si>
    <t>Year 9</t>
  </si>
  <si>
    <t>Year 10</t>
  </si>
  <si>
    <t>Electricity charge per store per month</t>
  </si>
  <si>
    <t>Charge</t>
  </si>
  <si>
    <t>Estimated losses from failure to collect</t>
  </si>
  <si>
    <t>Cumulative systems deployed</t>
  </si>
  <si>
    <t>COGS</t>
  </si>
  <si>
    <t>Revenues net of losses</t>
  </si>
  <si>
    <t>Gross revenues net of losses</t>
  </si>
  <si>
    <t>Operating costs</t>
  </si>
  <si>
    <t>Depreciation</t>
  </si>
  <si>
    <t>Systems mgmt fee</t>
  </si>
  <si>
    <t>Salaries</t>
  </si>
  <si>
    <t>Other costs</t>
  </si>
  <si>
    <t>Admin</t>
  </si>
  <si>
    <t>Insurance</t>
  </si>
  <si>
    <t>Net revenues per unit</t>
  </si>
  <si>
    <t>Systems mgmt fee (% net revenue)</t>
  </si>
  <si>
    <t>EBITDA</t>
  </si>
  <si>
    <t>Tax</t>
  </si>
  <si>
    <t>Other operating costs</t>
  </si>
  <si>
    <t>Corporate tax rate</t>
  </si>
  <si>
    <t>Net income</t>
  </si>
  <si>
    <t>INCOME STATEMENT</t>
  </si>
  <si>
    <t>BALANCE SHEET</t>
  </si>
  <si>
    <t>Non-current assets</t>
  </si>
  <si>
    <t>Collection agent vehicles</t>
  </si>
  <si>
    <t>Used vehicle cost</t>
  </si>
  <si>
    <t>Number of vehicles</t>
  </si>
  <si>
    <t>Total cost of vechicles</t>
  </si>
  <si>
    <t>Vehicle depreciation</t>
  </si>
  <si>
    <t>Vehicles</t>
  </si>
  <si>
    <t>Current assets</t>
  </si>
  <si>
    <t>Receivables</t>
  </si>
  <si>
    <t>WORKING CAPITAL</t>
  </si>
  <si>
    <t>Days of payables outstanding</t>
  </si>
  <si>
    <t>Payables</t>
  </si>
  <si>
    <t>Days of sales outstanding</t>
  </si>
  <si>
    <t>Days of inventory outstanding</t>
  </si>
  <si>
    <t>Inventory</t>
  </si>
  <si>
    <t>Cash</t>
  </si>
  <si>
    <t>Net fixed assets (systems)</t>
  </si>
  <si>
    <t>Total assets</t>
  </si>
  <si>
    <t>Current liabilities</t>
  </si>
  <si>
    <t>Current portion of long term debt</t>
  </si>
  <si>
    <t>DEBT SCHEDULE</t>
  </si>
  <si>
    <t>Debt repayment</t>
  </si>
  <si>
    <t>Non current liabilities</t>
  </si>
  <si>
    <t>Long term debt</t>
  </si>
  <si>
    <t>Total liabilities</t>
  </si>
  <si>
    <t>Owners share capital</t>
  </si>
  <si>
    <t>Equity</t>
  </si>
  <si>
    <t>Retained earnings</t>
  </si>
  <si>
    <t>Total equity</t>
  </si>
  <si>
    <t>Check</t>
  </si>
  <si>
    <t>Depreciation per unit per month</t>
  </si>
  <si>
    <t>System depreciation</t>
  </si>
  <si>
    <t>CASH FLOW STATEMENT</t>
  </si>
  <si>
    <t>Add back: Depreciation</t>
  </si>
  <si>
    <t>Cash flow from operations</t>
  </si>
  <si>
    <t>Change in working capital</t>
  </si>
  <si>
    <t>Total cash flow from operations</t>
  </si>
  <si>
    <t>Cash flow from investment</t>
  </si>
  <si>
    <t>Purchase of vehicles</t>
  </si>
  <si>
    <t>Cash flow from financing</t>
  </si>
  <si>
    <t>Total cash flow from investment</t>
  </si>
  <si>
    <t>Equity injection</t>
  </si>
  <si>
    <t>Interest paid</t>
  </si>
  <si>
    <t>Add back: Interest paid</t>
  </si>
  <si>
    <t>Tax paid</t>
  </si>
  <si>
    <t>Total cash flow from financing</t>
  </si>
  <si>
    <t>Beginning cash balance</t>
  </si>
  <si>
    <t>Ending cash balance</t>
  </si>
  <si>
    <t>Net cash flow</t>
  </si>
  <si>
    <t>FINANCIALS</t>
  </si>
  <si>
    <t>Low power use</t>
  </si>
  <si>
    <t>Dividends</t>
  </si>
  <si>
    <t>Min cash</t>
  </si>
  <si>
    <t>KEY METRICS</t>
  </si>
  <si>
    <t>Gross margin</t>
  </si>
  <si>
    <t>Net income margin</t>
  </si>
  <si>
    <t>Asset turnover</t>
  </si>
  <si>
    <t>Leverage</t>
  </si>
  <si>
    <t>ROE</t>
  </si>
  <si>
    <t>REVOLVER</t>
  </si>
  <si>
    <t>Revolver raised</t>
  </si>
  <si>
    <t>Revolver repaid</t>
  </si>
  <si>
    <t>Revolver interest</t>
  </si>
  <si>
    <t>Revolver</t>
  </si>
  <si>
    <t>Ending cash balance ex. Revolver</t>
  </si>
  <si>
    <t>Cash balances pre-revolver</t>
  </si>
  <si>
    <t>Beginning revolver balance</t>
  </si>
  <si>
    <t>Ending revolver balance</t>
  </si>
  <si>
    <t>Dividends paid</t>
  </si>
  <si>
    <t>No</t>
  </si>
  <si>
    <t>Debt/Equity</t>
  </si>
  <si>
    <t>Return on Capital Employed</t>
  </si>
  <si>
    <t>Debt service coverage ratio</t>
  </si>
  <si>
    <t>EBITDA margin</t>
  </si>
  <si>
    <t>KEY INPUTS</t>
  </si>
  <si>
    <t>Sources</t>
  </si>
  <si>
    <t>Uses</t>
  </si>
  <si>
    <t>Systems purchase</t>
  </si>
  <si>
    <t>Vehicle purchase</t>
  </si>
  <si>
    <t>Vehicles purchase</t>
  </si>
  <si>
    <t>Systems management fee</t>
  </si>
  <si>
    <t>Residual cash</t>
  </si>
  <si>
    <t>Working capital</t>
  </si>
  <si>
    <t>Revenue</t>
  </si>
  <si>
    <t>10YR PROJECT SOURCES &amp; USES</t>
  </si>
  <si>
    <t>Total uses</t>
  </si>
  <si>
    <t>Total sources</t>
  </si>
  <si>
    <t>Capex</t>
  </si>
  <si>
    <t>Systems depreciation</t>
  </si>
  <si>
    <t>Cost inflation</t>
  </si>
  <si>
    <t>Price inflation</t>
  </si>
  <si>
    <t>-</t>
  </si>
  <si>
    <t>Inverter size (W)</t>
  </si>
  <si>
    <t>NGN/USD exchange rate</t>
  </si>
  <si>
    <t>Equipment Cost</t>
  </si>
  <si>
    <t>Investment</t>
  </si>
  <si>
    <t>Earnings</t>
  </si>
  <si>
    <t>Insurance (% system cost)</t>
  </si>
  <si>
    <t>Cost per agent per month (% revenue)</t>
  </si>
  <si>
    <t>% of revenue collected by agents</t>
  </si>
  <si>
    <t>Appliances</t>
  </si>
  <si>
    <t>Appliances purchase</t>
  </si>
  <si>
    <t>Total appliances cost per unit ($)</t>
  </si>
  <si>
    <t>Total appliances cost per unit (NGN)</t>
  </si>
  <si>
    <t>Appliances depreciation</t>
  </si>
  <si>
    <t>Replacement capex</t>
  </si>
  <si>
    <t>Useful life Systems and Vehicles (yrs)</t>
  </si>
  <si>
    <t>Useful life Appliances (yrs)</t>
  </si>
  <si>
    <t>IRR Calc</t>
  </si>
  <si>
    <t>IRR</t>
  </si>
  <si>
    <t>MOIC</t>
  </si>
  <si>
    <t>Investor Returns</t>
  </si>
  <si>
    <t>Equity contribution (% of capex)</t>
  </si>
  <si>
    <t>PV</t>
  </si>
  <si>
    <t>Cabling</t>
  </si>
  <si>
    <t>Stalls per system</t>
  </si>
  <si>
    <t>Freight</t>
  </si>
  <si>
    <t>Lithium Capacity (kWh)</t>
  </si>
  <si>
    <t>No of Units</t>
  </si>
  <si>
    <t>Duty, others</t>
  </si>
  <si>
    <t>VAT, others</t>
  </si>
  <si>
    <t>Duty, PV &amp; Inverter</t>
  </si>
  <si>
    <t>VAT, PV &amp; inverter</t>
  </si>
  <si>
    <t>% total inverter &amp; batteries</t>
  </si>
  <si>
    <t>GREEN HEADERS CAN HAVE THEIR VALUES ADJUSTED</t>
  </si>
  <si>
    <t>TIER 1</t>
  </si>
  <si>
    <t>ASSUMPTIONS</t>
  </si>
  <si>
    <t>MAJOR OUTPUTS</t>
  </si>
  <si>
    <t>Day usage hours</t>
  </si>
  <si>
    <t>Tier 1 percentage</t>
  </si>
  <si>
    <t>HS500</t>
  </si>
  <si>
    <t>HS5000</t>
  </si>
  <si>
    <t>Night usage hours</t>
  </si>
  <si>
    <t>Tier 2 percentage</t>
  </si>
  <si>
    <t>Sunhours per day</t>
  </si>
  <si>
    <t>Tier 3 percentage</t>
  </si>
  <si>
    <t>Number of shops to be powered</t>
  </si>
  <si>
    <t>Total Peak Power for all shops</t>
  </si>
  <si>
    <t>TOTAL NUMBER OF SYSTEMS TO BE DEPLOYED</t>
  </si>
  <si>
    <t>Appliances per Unit</t>
  </si>
  <si>
    <t>Hours of autonomy</t>
  </si>
  <si>
    <t>% of shops</t>
  </si>
  <si>
    <t>No. Lights per shop</t>
  </si>
  <si>
    <t>No. Fans per shop</t>
  </si>
  <si>
    <t>Daily Electricity usage per store (kWh)</t>
  </si>
  <si>
    <t>Total Daily Electricity usage for all stores (kWh)</t>
  </si>
  <si>
    <t>Total Daily available PV + Battery Energy</t>
  </si>
  <si>
    <t>Tier 1</t>
  </si>
  <si>
    <t>Tier 2</t>
  </si>
  <si>
    <t>KEY LOAD INPUTS</t>
  </si>
  <si>
    <t>Tier 3</t>
  </si>
  <si>
    <t>Appliance list</t>
  </si>
  <si>
    <t>Wattage (W)</t>
  </si>
  <si>
    <t>Number per shop</t>
  </si>
  <si>
    <t>Total Wattage (W)</t>
  </si>
  <si>
    <t>Wgt Avg.</t>
  </si>
  <si>
    <t>Light fittings</t>
  </si>
  <si>
    <t>Fans</t>
  </si>
  <si>
    <t>TVs</t>
  </si>
  <si>
    <t>Phone charging</t>
  </si>
  <si>
    <t>HS LINE</t>
  </si>
  <si>
    <t>Number of panels</t>
  </si>
  <si>
    <t>PV size (Wp)</t>
  </si>
  <si>
    <t>Total PV size (Wp)</t>
  </si>
  <si>
    <t>Battery size (Wh)</t>
  </si>
  <si>
    <t>Average daily PV generation (Wh)</t>
  </si>
  <si>
    <t>Max Shops Powered using Peak Inverter Wattage</t>
  </si>
  <si>
    <t>TIER 2</t>
  </si>
  <si>
    <t>Total store ex. Open shops</t>
  </si>
  <si>
    <t>TIER 3</t>
  </si>
  <si>
    <t>Tier II &amp; Tier III</t>
  </si>
  <si>
    <t>Shop Tier</t>
  </si>
  <si>
    <t>Mid &amp; high power use</t>
  </si>
  <si>
    <t>Tier II &amp; Tier III deployment schedule</t>
  </si>
  <si>
    <t>Tier I deployment schedule</t>
  </si>
  <si>
    <t>Maintenance Reserve</t>
  </si>
  <si>
    <t>Revolver min cash</t>
  </si>
  <si>
    <t>Vehicle useful lfe</t>
  </si>
  <si>
    <t>Tier I Appliances</t>
  </si>
  <si>
    <t>Tier II &amp; Tier III Appliances</t>
  </si>
  <si>
    <t>Metering Cost</t>
  </si>
  <si>
    <t>Overview</t>
  </si>
  <si>
    <t>This page explains the layout of the model and the instructions for the User.</t>
  </si>
  <si>
    <t>Layout of Model</t>
  </si>
  <si>
    <t>Contingency</t>
  </si>
  <si>
    <t>Cost Per Meter ($)</t>
  </si>
  <si>
    <t>Appliance A ($/unit)</t>
  </si>
  <si>
    <t>Appliance B ($/unit)</t>
  </si>
  <si>
    <t>Numb of Appliance A required (per unit)</t>
  </si>
  <si>
    <t>Number of Appliance B required (per unit)</t>
  </si>
  <si>
    <t>Charge (N/Month)</t>
  </si>
  <si>
    <t>USD ($)</t>
  </si>
  <si>
    <t>Technical Specs</t>
  </si>
  <si>
    <t>Total Cost</t>
  </si>
  <si>
    <t>Contingency Provision</t>
  </si>
  <si>
    <t>Fees</t>
  </si>
  <si>
    <t>Total Cost (incl VAT and Fees)</t>
  </si>
  <si>
    <t>Total Cost (Inc Fees)</t>
  </si>
  <si>
    <t>Total Cost (Incl VAT, Fees &amp; Duties)</t>
  </si>
  <si>
    <t>System Cost</t>
  </si>
  <si>
    <t>Price Inflation</t>
  </si>
  <si>
    <t>Cost Inflation</t>
  </si>
  <si>
    <t>Other Project Assumptions</t>
  </si>
  <si>
    <t>Capital Contribution</t>
  </si>
  <si>
    <t>Macroeconomic Assumptions</t>
  </si>
  <si>
    <t>Components Cost</t>
  </si>
  <si>
    <t>Operational Expenses</t>
  </si>
  <si>
    <t>Input Technical Data</t>
  </si>
  <si>
    <t>Techical Specification</t>
  </si>
  <si>
    <t>Input Cost Assumptions</t>
  </si>
  <si>
    <t>Unit Cost Economic Analysis</t>
  </si>
  <si>
    <t xml:space="preserve">This page contains input sheets for Technical Data and Cost of Appliances. </t>
  </si>
  <si>
    <t>Input Cost</t>
  </si>
  <si>
    <t>This contains the key assumptions on Revenue, cost and macroeconomic indices</t>
  </si>
  <si>
    <t>Unit Economics</t>
  </si>
  <si>
    <r>
      <t>This is where cost structures and values are derived based on data in</t>
    </r>
    <r>
      <rPr>
        <b/>
        <sz val="10"/>
        <color rgb="FFFF0000"/>
        <rFont val="Arial"/>
        <family val="2"/>
      </rPr>
      <t xml:space="preserve"> "Input Technical Data"</t>
    </r>
    <r>
      <rPr>
        <sz val="10"/>
        <color rgb="FFFF0000"/>
        <rFont val="Arial"/>
        <family val="2"/>
      </rPr>
      <t xml:space="preserve"> and "</t>
    </r>
    <r>
      <rPr>
        <b/>
        <sz val="10"/>
        <color rgb="FFFF0000"/>
        <rFont val="Arial"/>
        <family val="2"/>
      </rPr>
      <t>Input Cost"</t>
    </r>
    <r>
      <rPr>
        <sz val="10"/>
        <color rgb="FFFF0000"/>
        <rFont val="Arial"/>
        <family val="2"/>
      </rPr>
      <t xml:space="preserve"> Sheets</t>
    </r>
  </si>
  <si>
    <t>Financials</t>
  </si>
  <si>
    <t>This sheet shows the statement of the assets, liabilities, capital of the project, Revenue and Cost Projections</t>
  </si>
  <si>
    <t>This model allows the User to evaluate an economic cluster.</t>
  </si>
  <si>
    <r>
      <t>The User inputs the Project Cost in "</t>
    </r>
    <r>
      <rPr>
        <b/>
        <i/>
        <sz val="10"/>
        <color theme="9" tint="-0.249977111117893"/>
        <rFont val="Arial"/>
        <family val="2"/>
      </rPr>
      <t>Input- Cost</t>
    </r>
    <r>
      <rPr>
        <sz val="11"/>
        <color theme="9" tint="-0.249977111117893"/>
        <rFont val="Calibri"/>
        <family val="2"/>
        <scheme val="minor"/>
      </rPr>
      <t xml:space="preserve">" Sheet. </t>
    </r>
  </si>
  <si>
    <r>
      <t xml:space="preserve"> It is assumed that the user inputs the technical specifications "</t>
    </r>
    <r>
      <rPr>
        <b/>
        <i/>
        <sz val="10"/>
        <color theme="9" tint="-0.249977111117893"/>
        <rFont val="Arial"/>
        <family val="2"/>
      </rPr>
      <t>Input Technical Data</t>
    </r>
    <r>
      <rPr>
        <sz val="11"/>
        <color theme="9" tint="-0.249977111117893"/>
        <rFont val="Calibri"/>
        <family val="2"/>
        <scheme val="minor"/>
      </rPr>
      <t>" sheet.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</si>
</sst>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">
    <numFmt numFmtId="43" formatCode="_-* #,##0.00_-;\-* #,##0.00_-;_-* &quot;-&quot;??_-;_-@_-"/>
    <numFmt numFmtId="164" formatCode="_-* #,##0.00\ _€_-;\-* #,##0.00\ _€_-;_-* &quot;-&quot;??\ _€_-;_-@_-"/>
    <numFmt numFmtId="165" formatCode="_-* #,##0_-;\-* #,##0_-;_-* &quot;-&quot;??_-;_-@_-"/>
    <numFmt numFmtId="166" formatCode="_-* #,##0.000_-;\-* #,##0.000_-;_-* &quot;-&quot;??_-;_-@_-"/>
    <numFmt numFmtId="167" formatCode="_-[$₦-46A]* #,##0_-;\-[$₦-46A]* #,##0_-;_-[$₦-46A]* &quot;-&quot;??_-;_-@_-"/>
    <numFmt numFmtId="168" formatCode="_-[$₦-46A]* #,##0_-;[Red]\([$₦-46A]* #,##0_-\);_-[$₦-46A]* &quot;-&quot;_-;_-@_-"/>
    <numFmt numFmtId="169" formatCode="_-* #,##0_-;[Red]\(#,##0_-\);_-* &quot;-&quot;??_-;_-@_-"/>
    <numFmt numFmtId="170" formatCode="_-* #,##0.0_-;[Red]\(#,##0.0_-\);_-* &quot;-&quot;??_-;_-@_-"/>
    <numFmt numFmtId="171" formatCode="_-[$$-409]* #,##0_ ;_-[$$-409]* \-#,##0\ ;_-[$$-409]* &quot;-&quot;??_ ;_-@_ "/>
    <numFmt numFmtId="172" formatCode="_-[$$-409]* #,##0.00_ ;_-[$$-409]* \-#,##0.00\ ;_-[$$-409]* &quot;-&quot;??_ ;_-@_ "/>
    <numFmt numFmtId="173" formatCode="[$$-409]#,##0.00"/>
    <numFmt numFmtId="174" formatCode="#,##0.000"/>
    <numFmt numFmtId="175" formatCode="[$$-409]#,##0"/>
    <numFmt numFmtId="176" formatCode="0.0%"/>
    <numFmt numFmtId="177" formatCode="_-* #,##0.0\x_-;\-* #,##0.0\x_-;_-* &quot;-&quot;??_-;_-@_-"/>
    <numFmt numFmtId="178" formatCode="_-* #,##0.0_-;\-* #,##0.0_-;_-* &quot;-&quot;??_-;_-@_-"/>
  </numFmts>
  <fonts count="3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FF"/>
      <name val="Calibri"/>
      <family val="2"/>
      <scheme val="minor"/>
    </font>
    <font>
      <sz val="10"/>
      <name val="Calibri"/>
      <family val="2"/>
      <scheme val="minor"/>
    </font>
    <font>
      <sz val="11"/>
      <color rgb="FF0000FF"/>
      <name val="Calibri"/>
      <family val="2"/>
      <scheme val="minor"/>
    </font>
    <font>
      <sz val="10"/>
      <color rgb="FF00B050"/>
      <name val="Calibri"/>
      <family val="2"/>
      <scheme val="minor"/>
    </font>
    <font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color rgb="FF00CC0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rgb="FF00CC00"/>
      <name val="Calibri"/>
      <family val="2"/>
      <scheme val="minor"/>
    </font>
    <font>
      <sz val="10"/>
      <name val="Arial"/>
      <family val="2"/>
    </font>
    <font>
      <u/>
      <sz val="10"/>
      <name val="Arial"/>
      <family val="2"/>
    </font>
    <font>
      <u/>
      <sz val="14"/>
      <name val="Arial"/>
      <family val="2"/>
    </font>
    <font>
      <sz val="14"/>
      <name val="Arial"/>
      <family val="2"/>
    </font>
    <font>
      <b/>
      <sz val="12"/>
      <color theme="9" tint="-0.249977111117893"/>
      <name val="Arial"/>
      <family val="2"/>
    </font>
    <font>
      <sz val="10"/>
      <color theme="9" tint="-0.249977111117893"/>
      <name val="Arial"/>
      <family val="2"/>
    </font>
    <font>
      <sz val="10"/>
      <color rgb="FF00FF0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11"/>
      <color theme="1"/>
      <name val="Century Gothic"/>
      <family val="2"/>
    </font>
    <font>
      <sz val="10"/>
      <color theme="1"/>
      <name val="Century Gothic"/>
      <family val="2"/>
    </font>
    <font>
      <b/>
      <sz val="14"/>
      <color theme="1"/>
      <name val="Century Gothic"/>
      <family val="2"/>
    </font>
    <font>
      <b/>
      <sz val="10"/>
      <color theme="1"/>
      <name val="Century Gothic"/>
      <family val="2"/>
    </font>
    <font>
      <sz val="10"/>
      <color theme="0"/>
      <name val="Century Gothic"/>
      <family val="2"/>
    </font>
    <font>
      <b/>
      <sz val="10"/>
      <color theme="0"/>
      <name val="Century Gothic"/>
      <family val="2"/>
    </font>
    <font>
      <sz val="10"/>
      <color rgb="FF0000FF"/>
      <name val="Century Gothic"/>
      <family val="2"/>
    </font>
    <font>
      <sz val="10"/>
      <name val="Century Gothic"/>
      <family val="2"/>
    </font>
    <font>
      <b/>
      <sz val="10"/>
      <name val="Century Gothic"/>
      <family val="2"/>
    </font>
    <font>
      <sz val="10"/>
      <color rgb="FF0000CC"/>
      <name val="Century Gothic"/>
      <family val="2"/>
    </font>
    <font>
      <sz val="10"/>
      <color rgb="FF00CC00"/>
      <name val="Century Gothic"/>
      <family val="2"/>
    </font>
    <font>
      <i/>
      <sz val="10"/>
      <color theme="1"/>
      <name val="Century Gothic"/>
      <family val="2"/>
    </font>
    <font>
      <sz val="10"/>
      <color rgb="FF00B050"/>
      <name val="Century Gothic"/>
      <family val="2"/>
    </font>
    <font>
      <b/>
      <i/>
      <sz val="10"/>
      <color theme="9" tint="-0.249977111117893"/>
      <name val="Arial"/>
      <family val="2"/>
    </font>
    <font>
      <sz val="11"/>
      <color theme="9" tint="-0.249977111117893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/>
        <bgColor indexed="64"/>
      </patternFill>
    </fill>
  </fills>
  <borders count="66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double">
        <color auto="1"/>
      </bottom>
      <diagonal/>
    </border>
    <border>
      <left/>
      <right style="medium">
        <color auto="1"/>
      </right>
      <top style="thin">
        <color auto="1"/>
      </top>
      <bottom style="double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medium">
        <color auto="1"/>
      </right>
      <top style="double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5" fillId="0" borderId="0"/>
  </cellStyleXfs>
  <cellXfs count="438">
    <xf numFmtId="0" fontId="0" fillId="0" borderId="0" xfId="0"/>
    <xf numFmtId="165" fontId="4" fillId="0" borderId="0" xfId="1" applyNumberFormat="1" applyFont="1" applyBorder="1"/>
    <xf numFmtId="0" fontId="0" fillId="0" borderId="0" xfId="0" applyBorder="1"/>
    <xf numFmtId="0" fontId="2" fillId="0" borderId="0" xfId="0" applyFont="1" applyBorder="1" applyAlignment="1">
      <alignment horizontal="center"/>
    </xf>
    <xf numFmtId="0" fontId="0" fillId="0" borderId="0" xfId="0" applyFill="1" applyBorder="1"/>
    <xf numFmtId="0" fontId="0" fillId="0" borderId="0" xfId="0" applyAlignment="1">
      <alignment horizontal="center"/>
    </xf>
    <xf numFmtId="168" fontId="5" fillId="0" borderId="0" xfId="1" applyNumberFormat="1" applyFont="1" applyFill="1" applyBorder="1"/>
    <xf numFmtId="0" fontId="10" fillId="0" borderId="0" xfId="0" applyFont="1"/>
    <xf numFmtId="0" fontId="3" fillId="3" borderId="1" xfId="0" applyFont="1" applyFill="1" applyBorder="1"/>
    <xf numFmtId="0" fontId="3" fillId="3" borderId="8" xfId="0" applyFont="1" applyFill="1" applyBorder="1"/>
    <xf numFmtId="0" fontId="3" fillId="3" borderId="9" xfId="0" applyFont="1" applyFill="1" applyBorder="1"/>
    <xf numFmtId="0" fontId="0" fillId="0" borderId="10" xfId="0" applyBorder="1"/>
    <xf numFmtId="0" fontId="0" fillId="0" borderId="11" xfId="0" applyBorder="1"/>
    <xf numFmtId="0" fontId="0" fillId="0" borderId="10" xfId="0" applyFill="1" applyBorder="1"/>
    <xf numFmtId="0" fontId="2" fillId="0" borderId="11" xfId="0" applyFont="1" applyBorder="1" applyAlignment="1">
      <alignment horizontal="center"/>
    </xf>
    <xf numFmtId="0" fontId="0" fillId="0" borderId="12" xfId="0" applyBorder="1"/>
    <xf numFmtId="0" fontId="0" fillId="0" borderId="13" xfId="0" applyBorder="1"/>
    <xf numFmtId="0" fontId="0" fillId="0" borderId="14" xfId="0" applyBorder="1"/>
    <xf numFmtId="165" fontId="7" fillId="4" borderId="2" xfId="1" applyNumberFormat="1" applyFont="1" applyFill="1" applyBorder="1" applyAlignment="1">
      <alignment horizontal="center"/>
    </xf>
    <xf numFmtId="165" fontId="7" fillId="4" borderId="3" xfId="1" applyNumberFormat="1" applyFont="1" applyFill="1" applyBorder="1" applyAlignment="1">
      <alignment horizontal="center"/>
    </xf>
    <xf numFmtId="165" fontId="4" fillId="0" borderId="10" xfId="1" applyNumberFormat="1" applyFont="1" applyBorder="1"/>
    <xf numFmtId="165" fontId="6" fillId="0" borderId="0" xfId="1" applyNumberFormat="1" applyFont="1" applyBorder="1" applyAlignment="1"/>
    <xf numFmtId="165" fontId="6" fillId="0" borderId="11" xfId="1" applyNumberFormat="1" applyFont="1" applyBorder="1" applyAlignment="1"/>
    <xf numFmtId="0" fontId="0" fillId="0" borderId="9" xfId="0" applyBorder="1"/>
    <xf numFmtId="0" fontId="0" fillId="0" borderId="8" xfId="0" applyBorder="1"/>
    <xf numFmtId="43" fontId="7" fillId="4" borderId="2" xfId="1" applyNumberFormat="1" applyFont="1" applyFill="1" applyBorder="1" applyAlignment="1">
      <alignment horizontal="center"/>
    </xf>
    <xf numFmtId="165" fontId="0" fillId="0" borderId="0" xfId="0" applyNumberFormat="1"/>
    <xf numFmtId="0" fontId="0" fillId="0" borderId="12" xfId="0" applyFill="1" applyBorder="1"/>
    <xf numFmtId="0" fontId="9" fillId="8" borderId="22" xfId="0" applyFont="1" applyFill="1" applyBorder="1"/>
    <xf numFmtId="0" fontId="3" fillId="8" borderId="23" xfId="0" applyFont="1" applyFill="1" applyBorder="1"/>
    <xf numFmtId="0" fontId="3" fillId="8" borderId="24" xfId="0" applyFont="1" applyFill="1" applyBorder="1"/>
    <xf numFmtId="0" fontId="13" fillId="0" borderId="1" xfId="0" applyFont="1" applyBorder="1" applyAlignment="1">
      <alignment horizontal="centerContinuous"/>
    </xf>
    <xf numFmtId="0" fontId="13" fillId="0" borderId="8" xfId="0" applyFont="1" applyBorder="1" applyAlignment="1">
      <alignment horizontal="centerContinuous"/>
    </xf>
    <xf numFmtId="0" fontId="13" fillId="0" borderId="9" xfId="0" applyFont="1" applyBorder="1" applyAlignment="1">
      <alignment horizontal="centerContinuous"/>
    </xf>
    <xf numFmtId="165" fontId="7" fillId="4" borderId="30" xfId="1" applyNumberFormat="1" applyFont="1" applyFill="1" applyBorder="1" applyAlignment="1">
      <alignment horizontal="center"/>
    </xf>
    <xf numFmtId="0" fontId="0" fillId="0" borderId="32" xfId="0" applyBorder="1"/>
    <xf numFmtId="9" fontId="0" fillId="6" borderId="33" xfId="2" applyNumberFormat="1" applyFont="1" applyFill="1" applyBorder="1"/>
    <xf numFmtId="165" fontId="7" fillId="4" borderId="31" xfId="1" applyNumberFormat="1" applyFont="1" applyFill="1" applyBorder="1" applyAlignment="1">
      <alignment horizontal="center"/>
    </xf>
    <xf numFmtId="0" fontId="0" fillId="0" borderId="34" xfId="0" applyBorder="1"/>
    <xf numFmtId="9" fontId="0" fillId="6" borderId="3" xfId="2" applyFont="1" applyFill="1" applyBorder="1"/>
    <xf numFmtId="165" fontId="7" fillId="4" borderId="35" xfId="1" applyNumberFormat="1" applyFont="1" applyFill="1" applyBorder="1" applyAlignment="1">
      <alignment horizontal="center"/>
    </xf>
    <xf numFmtId="0" fontId="9" fillId="0" borderId="36" xfId="0" applyFont="1" applyFill="1" applyBorder="1"/>
    <xf numFmtId="9" fontId="9" fillId="6" borderId="37" xfId="2" applyFont="1" applyFill="1" applyBorder="1"/>
    <xf numFmtId="0" fontId="3" fillId="0" borderId="0" xfId="0" applyFont="1" applyFill="1" applyBorder="1"/>
    <xf numFmtId="165" fontId="9" fillId="4" borderId="2" xfId="1" applyNumberFormat="1" applyFont="1" applyFill="1" applyBorder="1" applyAlignment="1">
      <alignment horizontal="center"/>
    </xf>
    <xf numFmtId="165" fontId="9" fillId="4" borderId="3" xfId="1" applyNumberFormat="1" applyFont="1" applyFill="1" applyBorder="1" applyAlignment="1">
      <alignment horizontal="center"/>
    </xf>
    <xf numFmtId="9" fontId="0" fillId="0" borderId="0" xfId="0" applyNumberFormat="1" applyFill="1" applyBorder="1"/>
    <xf numFmtId="0" fontId="2" fillId="0" borderId="1" xfId="0" applyFont="1" applyBorder="1" applyAlignment="1"/>
    <xf numFmtId="0" fontId="2" fillId="0" borderId="8" xfId="0" applyFont="1" applyBorder="1" applyAlignment="1"/>
    <xf numFmtId="0" fontId="2" fillId="0" borderId="9" xfId="0" applyFont="1" applyBorder="1" applyAlignment="1"/>
    <xf numFmtId="0" fontId="2" fillId="0" borderId="28" xfId="0" applyFont="1" applyFill="1" applyBorder="1"/>
    <xf numFmtId="0" fontId="0" fillId="0" borderId="38" xfId="0" applyFill="1" applyBorder="1"/>
    <xf numFmtId="0" fontId="0" fillId="0" borderId="39" xfId="0" applyBorder="1"/>
    <xf numFmtId="43" fontId="9" fillId="4" borderId="2" xfId="1" applyNumberFormat="1" applyFont="1" applyFill="1" applyBorder="1" applyAlignment="1">
      <alignment horizontal="center"/>
    </xf>
    <xf numFmtId="178" fontId="9" fillId="4" borderId="2" xfId="1" applyNumberFormat="1" applyFont="1" applyFill="1" applyBorder="1" applyAlignment="1">
      <alignment horizontal="center"/>
    </xf>
    <xf numFmtId="178" fontId="9" fillId="4" borderId="3" xfId="1" applyNumberFormat="1" applyFont="1" applyFill="1" applyBorder="1" applyAlignment="1">
      <alignment horizontal="center"/>
    </xf>
    <xf numFmtId="0" fontId="0" fillId="0" borderId="40" xfId="0" applyBorder="1"/>
    <xf numFmtId="0" fontId="0" fillId="0" borderId="41" xfId="0" applyBorder="1"/>
    <xf numFmtId="0" fontId="0" fillId="0" borderId="42" xfId="0" applyBorder="1"/>
    <xf numFmtId="0" fontId="0" fillId="0" borderId="43" xfId="0" applyFill="1" applyBorder="1"/>
    <xf numFmtId="0" fontId="0" fillId="0" borderId="44" xfId="0" applyFill="1" applyBorder="1"/>
    <xf numFmtId="0" fontId="0" fillId="0" borderId="45" xfId="0" applyFill="1" applyBorder="1"/>
    <xf numFmtId="43" fontId="5" fillId="4" borderId="2" xfId="1" applyNumberFormat="1" applyFont="1" applyFill="1" applyBorder="1"/>
    <xf numFmtId="43" fontId="5" fillId="4" borderId="3" xfId="1" applyNumberFormat="1" applyFont="1" applyFill="1" applyBorder="1"/>
    <xf numFmtId="0" fontId="0" fillId="0" borderId="43" xfId="0" applyBorder="1"/>
    <xf numFmtId="0" fontId="0" fillId="0" borderId="44" xfId="0" applyBorder="1"/>
    <xf numFmtId="165" fontId="7" fillId="0" borderId="45" xfId="1" applyNumberFormat="1" applyFont="1" applyFill="1" applyBorder="1" applyAlignment="1">
      <alignment horizontal="center"/>
    </xf>
    <xf numFmtId="165" fontId="7" fillId="0" borderId="0" xfId="1" applyNumberFormat="1" applyFont="1" applyFill="1" applyBorder="1" applyAlignment="1">
      <alignment horizontal="center"/>
    </xf>
    <xf numFmtId="165" fontId="7" fillId="0" borderId="34" xfId="1" applyNumberFormat="1" applyFont="1" applyFill="1" applyBorder="1" applyAlignment="1">
      <alignment horizontal="center"/>
    </xf>
    <xf numFmtId="0" fontId="0" fillId="0" borderId="2" xfId="0" applyFill="1" applyBorder="1"/>
    <xf numFmtId="0" fontId="0" fillId="0" borderId="3" xfId="0" applyFill="1" applyBorder="1"/>
    <xf numFmtId="178" fontId="5" fillId="4" borderId="2" xfId="1" applyNumberFormat="1" applyFont="1" applyFill="1" applyBorder="1"/>
    <xf numFmtId="178" fontId="5" fillId="4" borderId="3" xfId="1" applyNumberFormat="1" applyFont="1" applyFill="1" applyBorder="1"/>
    <xf numFmtId="0" fontId="0" fillId="0" borderId="34" xfId="0" applyFill="1" applyBorder="1"/>
    <xf numFmtId="165" fontId="7" fillId="0" borderId="3" xfId="1" applyNumberFormat="1" applyFont="1" applyFill="1" applyBorder="1" applyAlignment="1">
      <alignment horizontal="center"/>
    </xf>
    <xf numFmtId="165" fontId="5" fillId="0" borderId="13" xfId="1" applyNumberFormat="1" applyFont="1" applyFill="1" applyBorder="1"/>
    <xf numFmtId="165" fontId="5" fillId="0" borderId="14" xfId="1" applyNumberFormat="1" applyFont="1" applyFill="1" applyBorder="1"/>
    <xf numFmtId="0" fontId="0" fillId="0" borderId="46" xfId="0" applyFill="1" applyBorder="1"/>
    <xf numFmtId="165" fontId="0" fillId="0" borderId="34" xfId="1" applyNumberFormat="1" applyFont="1" applyFill="1" applyBorder="1" applyAlignment="1">
      <alignment horizontal="right" vertical="center"/>
    </xf>
    <xf numFmtId="165" fontId="9" fillId="0" borderId="2" xfId="1" applyNumberFormat="1" applyFont="1" applyFill="1" applyBorder="1" applyAlignment="1">
      <alignment horizontal="center"/>
    </xf>
    <xf numFmtId="165" fontId="9" fillId="0" borderId="3" xfId="1" applyNumberFormat="1" applyFont="1" applyFill="1" applyBorder="1" applyAlignment="1">
      <alignment horizontal="center"/>
    </xf>
    <xf numFmtId="165" fontId="9" fillId="0" borderId="0" xfId="1" applyNumberFormat="1" applyFont="1" applyFill="1" applyBorder="1" applyAlignment="1">
      <alignment horizontal="center"/>
    </xf>
    <xf numFmtId="43" fontId="7" fillId="0" borderId="34" xfId="1" applyNumberFormat="1" applyFont="1" applyFill="1" applyBorder="1" applyAlignment="1">
      <alignment horizontal="center"/>
    </xf>
    <xf numFmtId="9" fontId="0" fillId="0" borderId="2" xfId="2" applyFont="1" applyFill="1" applyBorder="1"/>
    <xf numFmtId="165" fontId="0" fillId="0" borderId="2" xfId="0" applyNumberFormat="1" applyFill="1" applyBorder="1"/>
    <xf numFmtId="165" fontId="0" fillId="0" borderId="3" xfId="0" applyNumberFormat="1" applyFill="1" applyBorder="1"/>
    <xf numFmtId="165" fontId="5" fillId="0" borderId="0" xfId="1" applyNumberFormat="1" applyFont="1" applyFill="1" applyBorder="1"/>
    <xf numFmtId="165" fontId="5" fillId="0" borderId="11" xfId="1" applyNumberFormat="1" applyFont="1" applyFill="1" applyBorder="1"/>
    <xf numFmtId="0" fontId="0" fillId="0" borderId="47" xfId="0" applyFill="1" applyBorder="1"/>
    <xf numFmtId="0" fontId="2" fillId="8" borderId="28" xfId="0" applyFont="1" applyFill="1" applyBorder="1" applyAlignment="1">
      <alignment horizontal="centerContinuous"/>
    </xf>
    <xf numFmtId="0" fontId="2" fillId="8" borderId="38" xfId="0" applyFont="1" applyFill="1" applyBorder="1" applyAlignment="1">
      <alignment horizontal="centerContinuous"/>
    </xf>
    <xf numFmtId="0" fontId="2" fillId="8" borderId="48" xfId="0" applyFont="1" applyFill="1" applyBorder="1" applyAlignment="1">
      <alignment horizontal="centerContinuous"/>
    </xf>
    <xf numFmtId="0" fontId="2" fillId="8" borderId="39" xfId="0" applyFont="1" applyFill="1" applyBorder="1" applyAlignment="1">
      <alignment horizontal="centerContinuous"/>
    </xf>
    <xf numFmtId="165" fontId="0" fillId="0" borderId="34" xfId="0" applyNumberFormat="1" applyFill="1" applyBorder="1" applyAlignment="1">
      <alignment horizontal="right" vertical="center"/>
    </xf>
    <xf numFmtId="0" fontId="2" fillId="0" borderId="22" xfId="0" applyFont="1" applyBorder="1" applyAlignment="1"/>
    <xf numFmtId="0" fontId="2" fillId="0" borderId="49" xfId="0" applyFont="1" applyBorder="1" applyAlignment="1"/>
    <xf numFmtId="0" fontId="2" fillId="0" borderId="50" xfId="0" applyFont="1" applyBorder="1" applyAlignment="1"/>
    <xf numFmtId="0" fontId="2" fillId="0" borderId="24" xfId="0" applyFont="1" applyBorder="1" applyAlignment="1"/>
    <xf numFmtId="0" fontId="2" fillId="7" borderId="51" xfId="0" applyFont="1" applyFill="1" applyBorder="1"/>
    <xf numFmtId="165" fontId="2" fillId="7" borderId="36" xfId="0" applyNumberFormat="1" applyFont="1" applyFill="1" applyBorder="1"/>
    <xf numFmtId="165" fontId="11" fillId="7" borderId="52" xfId="1" applyNumberFormat="1" applyFont="1" applyFill="1" applyBorder="1" applyAlignment="1">
      <alignment horizontal="center"/>
    </xf>
    <xf numFmtId="165" fontId="11" fillId="7" borderId="37" xfId="1" applyNumberFormat="1" applyFont="1" applyFill="1" applyBorder="1" applyAlignment="1">
      <alignment horizontal="center"/>
    </xf>
    <xf numFmtId="165" fontId="11" fillId="7" borderId="36" xfId="1" applyNumberFormat="1" applyFont="1" applyFill="1" applyBorder="1" applyAlignment="1">
      <alignment horizontal="center"/>
    </xf>
    <xf numFmtId="0" fontId="0" fillId="0" borderId="53" xfId="0" applyFill="1" applyBorder="1"/>
    <xf numFmtId="43" fontId="14" fillId="4" borderId="2" xfId="1" applyNumberFormat="1" applyFont="1" applyFill="1" applyBorder="1" applyAlignment="1">
      <alignment horizontal="center"/>
    </xf>
    <xf numFmtId="165" fontId="9" fillId="4" borderId="25" xfId="1" applyNumberFormat="1" applyFont="1" applyFill="1" applyBorder="1" applyAlignment="1">
      <alignment horizontal="center"/>
    </xf>
    <xf numFmtId="43" fontId="7" fillId="4" borderId="52" xfId="1" applyNumberFormat="1" applyFont="1" applyFill="1" applyBorder="1" applyAlignment="1">
      <alignment horizontal="center"/>
    </xf>
    <xf numFmtId="165" fontId="7" fillId="4" borderId="52" xfId="1" applyNumberFormat="1" applyFont="1" applyFill="1" applyBorder="1" applyAlignment="1">
      <alignment horizontal="center"/>
    </xf>
    <xf numFmtId="165" fontId="9" fillId="4" borderId="54" xfId="1" applyNumberFormat="1" applyFont="1" applyFill="1" applyBorder="1" applyAlignment="1">
      <alignment horizontal="center"/>
    </xf>
    <xf numFmtId="0" fontId="0" fillId="0" borderId="0" xfId="0" applyBorder="1" applyAlignment="1"/>
    <xf numFmtId="0" fontId="0" fillId="0" borderId="0" xfId="0" applyFill="1" applyBorder="1" applyAlignment="1"/>
    <xf numFmtId="165" fontId="2" fillId="0" borderId="39" xfId="0" applyNumberFormat="1" applyFont="1" applyBorder="1"/>
    <xf numFmtId="0" fontId="2" fillId="0" borderId="28" xfId="0" applyFont="1" applyBorder="1" applyAlignment="1"/>
    <xf numFmtId="0" fontId="2" fillId="0" borderId="38" xfId="0" applyFont="1" applyBorder="1" applyAlignment="1"/>
    <xf numFmtId="0" fontId="2" fillId="0" borderId="39" xfId="0" applyFont="1" applyBorder="1" applyAlignment="1"/>
    <xf numFmtId="0" fontId="3" fillId="9" borderId="32" xfId="0" applyFont="1" applyFill="1" applyBorder="1"/>
    <xf numFmtId="0" fontId="3" fillId="9" borderId="50" xfId="0" applyFont="1" applyFill="1" applyBorder="1" applyAlignment="1">
      <alignment wrapText="1"/>
    </xf>
    <xf numFmtId="0" fontId="3" fillId="9" borderId="49" xfId="0" applyFont="1" applyFill="1" applyBorder="1" applyAlignment="1">
      <alignment wrapText="1"/>
    </xf>
    <xf numFmtId="0" fontId="3" fillId="9" borderId="24" xfId="0" applyFont="1" applyFill="1" applyBorder="1" applyAlignment="1">
      <alignment wrapText="1"/>
    </xf>
    <xf numFmtId="0" fontId="0" fillId="2" borderId="34" xfId="0" applyFill="1" applyBorder="1"/>
    <xf numFmtId="0" fontId="7" fillId="2" borderId="2" xfId="0" applyFont="1" applyFill="1" applyBorder="1"/>
    <xf numFmtId="0" fontId="0" fillId="2" borderId="2" xfId="0" applyFill="1" applyBorder="1"/>
    <xf numFmtId="0" fontId="7" fillId="2" borderId="31" xfId="0" applyFont="1" applyFill="1" applyBorder="1"/>
    <xf numFmtId="165" fontId="0" fillId="2" borderId="2" xfId="0" applyNumberFormat="1" applyFill="1" applyBorder="1"/>
    <xf numFmtId="165" fontId="0" fillId="2" borderId="25" xfId="0" applyNumberFormat="1" applyFill="1" applyBorder="1"/>
    <xf numFmtId="0" fontId="0" fillId="0" borderId="36" xfId="0" applyBorder="1"/>
    <xf numFmtId="0" fontId="7" fillId="0" borderId="52" xfId="0" applyFont="1" applyBorder="1"/>
    <xf numFmtId="0" fontId="0" fillId="0" borderId="52" xfId="0" applyBorder="1"/>
    <xf numFmtId="0" fontId="7" fillId="0" borderId="35" xfId="0" applyFont="1" applyBorder="1"/>
    <xf numFmtId="165" fontId="0" fillId="0" borderId="52" xfId="0" applyNumberFormat="1" applyBorder="1"/>
    <xf numFmtId="165" fontId="0" fillId="0" borderId="54" xfId="0" applyNumberFormat="1" applyBorder="1"/>
    <xf numFmtId="43" fontId="9" fillId="4" borderId="3" xfId="1" applyNumberFormat="1" applyFont="1" applyFill="1" applyBorder="1" applyAlignment="1">
      <alignment horizontal="center"/>
    </xf>
    <xf numFmtId="0" fontId="0" fillId="0" borderId="1" xfId="0" applyBorder="1"/>
    <xf numFmtId="0" fontId="2" fillId="0" borderId="0" xfId="0" applyFont="1" applyFill="1" applyBorder="1" applyAlignment="1"/>
    <xf numFmtId="165" fontId="12" fillId="0" borderId="0" xfId="1" applyNumberFormat="1" applyFont="1" applyBorder="1" applyAlignment="1"/>
    <xf numFmtId="165" fontId="12" fillId="0" borderId="11" xfId="1" applyNumberFormat="1" applyFont="1" applyBorder="1" applyAlignment="1"/>
    <xf numFmtId="165" fontId="0" fillId="0" borderId="0" xfId="0" applyNumberFormat="1" applyFill="1" applyBorder="1"/>
    <xf numFmtId="165" fontId="4" fillId="0" borderId="10" xfId="1" applyNumberFormat="1" applyFont="1" applyBorder="1" applyAlignment="1">
      <alignment horizontal="left" indent="2"/>
    </xf>
    <xf numFmtId="165" fontId="4" fillId="0" borderId="34" xfId="1" applyNumberFormat="1" applyFont="1" applyBorder="1" applyAlignment="1">
      <alignment horizontal="left" indent="2"/>
    </xf>
    <xf numFmtId="165" fontId="4" fillId="0" borderId="2" xfId="1" applyNumberFormat="1" applyFont="1" applyBorder="1"/>
    <xf numFmtId="165" fontId="6" fillId="0" borderId="2" xfId="1" applyNumberFormat="1" applyFont="1" applyBorder="1" applyAlignment="1"/>
    <xf numFmtId="165" fontId="6" fillId="0" borderId="3" xfId="1" applyNumberFormat="1" applyFont="1" applyBorder="1" applyAlignment="1"/>
    <xf numFmtId="165" fontId="4" fillId="0" borderId="34" xfId="1" applyNumberFormat="1" applyFont="1" applyBorder="1"/>
    <xf numFmtId="9" fontId="8" fillId="0" borderId="2" xfId="2" applyFont="1" applyBorder="1" applyAlignment="1"/>
    <xf numFmtId="9" fontId="8" fillId="0" borderId="3" xfId="2" applyFont="1" applyBorder="1" applyAlignment="1"/>
    <xf numFmtId="0" fontId="2" fillId="0" borderId="0" xfId="0" applyFont="1" applyAlignment="1">
      <alignment horizontal="right"/>
    </xf>
    <xf numFmtId="0" fontId="2" fillId="0" borderId="33" xfId="0" applyFont="1" applyBorder="1" applyAlignment="1"/>
    <xf numFmtId="165" fontId="7" fillId="4" borderId="37" xfId="1" applyNumberFormat="1" applyFont="1" applyFill="1" applyBorder="1" applyAlignment="1">
      <alignment horizontal="center"/>
    </xf>
    <xf numFmtId="0" fontId="16" fillId="0" borderId="0" xfId="3" applyFont="1"/>
    <xf numFmtId="0" fontId="15" fillId="0" borderId="0" xfId="3"/>
    <xf numFmtId="0" fontId="17" fillId="0" borderId="0" xfId="3" applyFont="1"/>
    <xf numFmtId="0" fontId="18" fillId="0" borderId="0" xfId="3" applyFont="1"/>
    <xf numFmtId="0" fontId="19" fillId="0" borderId="0" xfId="3" applyFont="1"/>
    <xf numFmtId="0" fontId="20" fillId="0" borderId="0" xfId="3" applyFont="1"/>
    <xf numFmtId="0" fontId="21" fillId="0" borderId="0" xfId="3" applyFont="1"/>
    <xf numFmtId="0" fontId="22" fillId="0" borderId="0" xfId="3" applyFont="1"/>
    <xf numFmtId="0" fontId="24" fillId="0" borderId="0" xfId="0" applyFont="1"/>
    <xf numFmtId="43" fontId="24" fillId="0" borderId="0" xfId="1" applyFont="1"/>
    <xf numFmtId="165" fontId="25" fillId="0" borderId="0" xfId="1" applyNumberFormat="1" applyFont="1"/>
    <xf numFmtId="0" fontId="26" fillId="0" borderId="0" xfId="1" applyNumberFormat="1" applyFont="1"/>
    <xf numFmtId="165" fontId="25" fillId="0" borderId="0" xfId="1" applyNumberFormat="1" applyFont="1" applyAlignment="1"/>
    <xf numFmtId="0" fontId="25" fillId="0" borderId="0" xfId="1" applyNumberFormat="1" applyFont="1"/>
    <xf numFmtId="0" fontId="25" fillId="0" borderId="0" xfId="1" applyNumberFormat="1" applyFont="1" applyAlignment="1">
      <alignment horizontal="left"/>
    </xf>
    <xf numFmtId="165" fontId="25" fillId="0" borderId="0" xfId="1" applyNumberFormat="1" applyFont="1" applyBorder="1" applyAlignment="1"/>
    <xf numFmtId="165" fontId="27" fillId="0" borderId="10" xfId="1" applyNumberFormat="1" applyFont="1" applyBorder="1"/>
    <xf numFmtId="165" fontId="27" fillId="0" borderId="0" xfId="1" applyNumberFormat="1" applyFont="1" applyBorder="1"/>
    <xf numFmtId="165" fontId="25" fillId="0" borderId="0" xfId="1" applyNumberFormat="1" applyFont="1" applyBorder="1"/>
    <xf numFmtId="165" fontId="25" fillId="0" borderId="11" xfId="1" applyNumberFormat="1" applyFont="1" applyBorder="1" applyAlignment="1"/>
    <xf numFmtId="165" fontId="25" fillId="0" borderId="10" xfId="1" applyNumberFormat="1" applyFont="1" applyBorder="1"/>
    <xf numFmtId="166" fontId="30" fillId="0" borderId="0" xfId="1" applyNumberFormat="1" applyFont="1" applyFill="1" applyBorder="1" applyAlignment="1"/>
    <xf numFmtId="165" fontId="30" fillId="0" borderId="0" xfId="1" applyNumberFormat="1" applyFont="1" applyBorder="1" applyAlignment="1"/>
    <xf numFmtId="165" fontId="30" fillId="0" borderId="11" xfId="1" applyNumberFormat="1" applyFont="1" applyBorder="1" applyAlignment="1"/>
    <xf numFmtId="171" fontId="31" fillId="0" borderId="0" xfId="1" applyNumberFormat="1" applyFont="1" applyBorder="1" applyAlignment="1"/>
    <xf numFmtId="171" fontId="31" fillId="0" borderId="11" xfId="1" applyNumberFormat="1" applyFont="1" applyBorder="1" applyAlignment="1"/>
    <xf numFmtId="167" fontId="31" fillId="0" borderId="0" xfId="1" applyNumberFormat="1" applyFont="1" applyBorder="1" applyAlignment="1"/>
    <xf numFmtId="167" fontId="31" fillId="0" borderId="11" xfId="1" applyNumberFormat="1" applyFont="1" applyBorder="1" applyAlignment="1"/>
    <xf numFmtId="164" fontId="24" fillId="0" borderId="0" xfId="0" applyNumberFormat="1" applyFont="1"/>
    <xf numFmtId="43" fontId="25" fillId="0" borderId="0" xfId="1" applyNumberFormat="1" applyFont="1"/>
    <xf numFmtId="165" fontId="27" fillId="0" borderId="0" xfId="1" applyNumberFormat="1" applyFont="1"/>
    <xf numFmtId="167" fontId="30" fillId="0" borderId="0" xfId="1" applyNumberFormat="1" applyFont="1" applyBorder="1" applyAlignment="1"/>
    <xf numFmtId="167" fontId="30" fillId="0" borderId="11" xfId="1" applyNumberFormat="1" applyFont="1" applyBorder="1" applyAlignment="1"/>
    <xf numFmtId="9" fontId="30" fillId="0" borderId="0" xfId="2" applyFont="1" applyBorder="1" applyAlignment="1"/>
    <xf numFmtId="9" fontId="30" fillId="0" borderId="11" xfId="2" applyFont="1" applyBorder="1" applyAlignment="1"/>
    <xf numFmtId="165" fontId="25" fillId="0" borderId="0" xfId="1" quotePrefix="1" applyNumberFormat="1" applyFont="1"/>
    <xf numFmtId="164" fontId="25" fillId="0" borderId="0" xfId="1" applyNumberFormat="1" applyFont="1"/>
    <xf numFmtId="176" fontId="25" fillId="0" borderId="0" xfId="2" applyNumberFormat="1" applyFont="1"/>
    <xf numFmtId="176" fontId="30" fillId="0" borderId="0" xfId="2" applyNumberFormat="1" applyFont="1" applyBorder="1" applyAlignment="1"/>
    <xf numFmtId="176" fontId="30" fillId="0" borderId="11" xfId="2" applyNumberFormat="1" applyFont="1" applyBorder="1" applyAlignment="1"/>
    <xf numFmtId="169" fontId="24" fillId="0" borderId="0" xfId="0" applyNumberFormat="1" applyFont="1" applyBorder="1" applyAlignment="1"/>
    <xf numFmtId="169" fontId="24" fillId="0" borderId="11" xfId="0" applyNumberFormat="1" applyFont="1" applyBorder="1" applyAlignment="1"/>
    <xf numFmtId="165" fontId="25" fillId="0" borderId="0" xfId="1" applyNumberFormat="1" applyFont="1" applyAlignment="1">
      <alignment horizontal="center"/>
    </xf>
    <xf numFmtId="169" fontId="24" fillId="0" borderId="0" xfId="0" applyNumberFormat="1" applyFont="1" applyAlignment="1">
      <alignment horizontal="center"/>
    </xf>
    <xf numFmtId="165" fontId="25" fillId="0" borderId="12" xfId="1" applyNumberFormat="1" applyFont="1" applyBorder="1"/>
    <xf numFmtId="165" fontId="25" fillId="0" borderId="13" xfId="1" applyNumberFormat="1" applyFont="1" applyBorder="1"/>
    <xf numFmtId="165" fontId="25" fillId="0" borderId="13" xfId="1" applyNumberFormat="1" applyFont="1" applyBorder="1" applyAlignment="1"/>
    <xf numFmtId="165" fontId="25" fillId="0" borderId="14" xfId="1" applyNumberFormat="1" applyFont="1" applyBorder="1" applyAlignment="1"/>
    <xf numFmtId="165" fontId="25" fillId="10" borderId="0" xfId="1" applyNumberFormat="1" applyFont="1" applyFill="1" applyBorder="1" applyAlignment="1"/>
    <xf numFmtId="165" fontId="25" fillId="10" borderId="11" xfId="1" applyNumberFormat="1" applyFont="1" applyFill="1" applyBorder="1" applyAlignment="1"/>
    <xf numFmtId="2" fontId="30" fillId="0" borderId="0" xfId="1" applyNumberFormat="1" applyFont="1" applyBorder="1" applyAlignment="1"/>
    <xf numFmtId="2" fontId="30" fillId="0" borderId="11" xfId="1" applyNumberFormat="1" applyFont="1" applyBorder="1" applyAlignment="1"/>
    <xf numFmtId="165" fontId="28" fillId="3" borderId="1" xfId="1" applyNumberFormat="1" applyFont="1" applyFill="1" applyBorder="1"/>
    <xf numFmtId="165" fontId="28" fillId="3" borderId="8" xfId="1" applyNumberFormat="1" applyFont="1" applyFill="1" applyBorder="1"/>
    <xf numFmtId="165" fontId="29" fillId="3" borderId="8" xfId="1" applyNumberFormat="1" applyFont="1" applyFill="1" applyBorder="1" applyAlignment="1">
      <alignment horizontal="center"/>
    </xf>
    <xf numFmtId="165" fontId="29" fillId="3" borderId="9" xfId="1" applyNumberFormat="1" applyFont="1" applyFill="1" applyBorder="1" applyAlignment="1">
      <alignment horizontal="center"/>
    </xf>
    <xf numFmtId="165" fontId="27" fillId="0" borderId="1" xfId="1" applyNumberFormat="1" applyFont="1" applyBorder="1"/>
    <xf numFmtId="165" fontId="27" fillId="0" borderId="8" xfId="1" applyNumberFormat="1" applyFont="1" applyBorder="1"/>
    <xf numFmtId="165" fontId="25" fillId="0" borderId="8" xfId="1" applyNumberFormat="1" applyFont="1" applyBorder="1"/>
    <xf numFmtId="165" fontId="25" fillId="0" borderId="8" xfId="1" applyNumberFormat="1" applyFont="1" applyBorder="1" applyAlignment="1"/>
    <xf numFmtId="165" fontId="25" fillId="0" borderId="9" xfId="1" applyNumberFormat="1" applyFont="1" applyBorder="1" applyAlignment="1"/>
    <xf numFmtId="165" fontId="25" fillId="0" borderId="1" xfId="1" applyNumberFormat="1" applyFont="1" applyBorder="1"/>
    <xf numFmtId="165" fontId="25" fillId="0" borderId="29" xfId="1" applyNumberFormat="1" applyFont="1" applyBorder="1"/>
    <xf numFmtId="0" fontId="24" fillId="0" borderId="16" xfId="0" applyFont="1" applyBorder="1"/>
    <xf numFmtId="165" fontId="25" fillId="0" borderId="16" xfId="1" applyNumberFormat="1" applyFont="1" applyBorder="1"/>
    <xf numFmtId="165" fontId="30" fillId="0" borderId="16" xfId="1" applyNumberFormat="1" applyFont="1" applyBorder="1" applyAlignment="1"/>
    <xf numFmtId="165" fontId="25" fillId="0" borderId="55" xfId="1" applyNumberFormat="1" applyFont="1" applyBorder="1"/>
    <xf numFmtId="0" fontId="24" fillId="0" borderId="0" xfId="0" applyFont="1" applyBorder="1"/>
    <xf numFmtId="165" fontId="25" fillId="0" borderId="30" xfId="1" applyNumberFormat="1" applyFont="1" applyBorder="1"/>
    <xf numFmtId="0" fontId="24" fillId="0" borderId="15" xfId="0" applyFont="1" applyBorder="1"/>
    <xf numFmtId="165" fontId="25" fillId="0" borderId="15" xfId="1" applyNumberFormat="1" applyFont="1" applyBorder="1"/>
    <xf numFmtId="165" fontId="30" fillId="0" borderId="15" xfId="1" applyNumberFormat="1" applyFont="1" applyBorder="1" applyAlignment="1"/>
    <xf numFmtId="166" fontId="30" fillId="0" borderId="16" xfId="1" applyNumberFormat="1" applyFont="1" applyBorder="1" applyAlignment="1"/>
    <xf numFmtId="171" fontId="32" fillId="0" borderId="0" xfId="1" applyNumberFormat="1" applyFont="1" applyBorder="1" applyAlignment="1"/>
    <xf numFmtId="165" fontId="27" fillId="0" borderId="56" xfId="1" applyNumberFormat="1" applyFont="1" applyBorder="1"/>
    <xf numFmtId="172" fontId="32" fillId="0" borderId="0" xfId="1" applyNumberFormat="1" applyFont="1" applyBorder="1" applyAlignment="1"/>
    <xf numFmtId="165" fontId="27" fillId="0" borderId="7" xfId="1" applyNumberFormat="1" applyFont="1" applyBorder="1"/>
    <xf numFmtId="167" fontId="32" fillId="0" borderId="7" xfId="1" applyNumberFormat="1" applyFont="1" applyFill="1" applyBorder="1" applyAlignment="1"/>
    <xf numFmtId="165" fontId="27" fillId="0" borderId="57" xfId="1" applyNumberFormat="1" applyFont="1" applyBorder="1"/>
    <xf numFmtId="166" fontId="30" fillId="0" borderId="26" xfId="1" applyNumberFormat="1" applyFont="1" applyBorder="1" applyAlignment="1"/>
    <xf numFmtId="165" fontId="25" fillId="0" borderId="58" xfId="1" applyNumberFormat="1" applyFont="1" applyBorder="1"/>
    <xf numFmtId="166" fontId="30" fillId="0" borderId="11" xfId="1" applyNumberFormat="1" applyFont="1" applyFill="1" applyBorder="1" applyAlignment="1"/>
    <xf numFmtId="165" fontId="25" fillId="0" borderId="43" xfId="1" applyNumberFormat="1" applyFont="1" applyBorder="1"/>
    <xf numFmtId="165" fontId="30" fillId="0" borderId="21" xfId="1" applyNumberFormat="1" applyFont="1" applyBorder="1" applyAlignment="1"/>
    <xf numFmtId="165" fontId="30" fillId="0" borderId="26" xfId="1" applyNumberFormat="1" applyFont="1" applyBorder="1" applyAlignment="1"/>
    <xf numFmtId="171" fontId="32" fillId="0" borderId="11" xfId="1" applyNumberFormat="1" applyFont="1" applyBorder="1" applyAlignment="1"/>
    <xf numFmtId="172" fontId="32" fillId="0" borderId="11" xfId="1" applyNumberFormat="1" applyFont="1" applyBorder="1" applyAlignment="1"/>
    <xf numFmtId="167" fontId="32" fillId="0" borderId="20" xfId="1" applyNumberFormat="1" applyFont="1" applyFill="1" applyBorder="1" applyAlignment="1"/>
    <xf numFmtId="0" fontId="27" fillId="0" borderId="1" xfId="0" applyFont="1" applyBorder="1"/>
    <xf numFmtId="165" fontId="25" fillId="0" borderId="0" xfId="1" quotePrefix="1" applyNumberFormat="1" applyFont="1" applyBorder="1"/>
    <xf numFmtId="168" fontId="33" fillId="0" borderId="2" xfId="1" applyNumberFormat="1" applyFont="1" applyFill="1" applyBorder="1"/>
    <xf numFmtId="168" fontId="33" fillId="0" borderId="3" xfId="1" applyNumberFormat="1" applyFont="1" applyFill="1" applyBorder="1"/>
    <xf numFmtId="168" fontId="30" fillId="0" borderId="0" xfId="1" applyNumberFormat="1" applyFont="1" applyFill="1" applyBorder="1"/>
    <xf numFmtId="168" fontId="30" fillId="0" borderId="11" xfId="1" applyNumberFormat="1" applyFont="1" applyFill="1" applyBorder="1"/>
    <xf numFmtId="168" fontId="31" fillId="0" borderId="0" xfId="1" applyNumberFormat="1" applyFont="1" applyFill="1" applyBorder="1"/>
    <xf numFmtId="167" fontId="31" fillId="0" borderId="0" xfId="1" applyNumberFormat="1" applyFont="1"/>
    <xf numFmtId="168" fontId="31" fillId="0" borderId="0" xfId="1" applyNumberFormat="1" applyFont="1" applyBorder="1"/>
    <xf numFmtId="168" fontId="31" fillId="0" borderId="5" xfId="1" applyNumberFormat="1" applyFont="1" applyBorder="1"/>
    <xf numFmtId="168" fontId="31" fillId="0" borderId="11" xfId="1" applyNumberFormat="1" applyFont="1" applyBorder="1"/>
    <xf numFmtId="0" fontId="25" fillId="0" borderId="0" xfId="0" applyFont="1"/>
    <xf numFmtId="0" fontId="27" fillId="0" borderId="0" xfId="0" applyFont="1"/>
    <xf numFmtId="165" fontId="25" fillId="0" borderId="0" xfId="0" applyNumberFormat="1" applyFont="1"/>
    <xf numFmtId="43" fontId="25" fillId="0" borderId="0" xfId="1" applyFont="1"/>
    <xf numFmtId="0" fontId="28" fillId="3" borderId="1" xfId="0" applyFont="1" applyFill="1" applyBorder="1"/>
    <xf numFmtId="0" fontId="28" fillId="3" borderId="8" xfId="0" applyFont="1" applyFill="1" applyBorder="1"/>
    <xf numFmtId="0" fontId="28" fillId="3" borderId="9" xfId="0" applyFont="1" applyFill="1" applyBorder="1"/>
    <xf numFmtId="0" fontId="28" fillId="3" borderId="4" xfId="0" applyFont="1" applyFill="1" applyBorder="1"/>
    <xf numFmtId="0" fontId="25" fillId="0" borderId="10" xfId="0" applyFont="1" applyBorder="1"/>
    <xf numFmtId="0" fontId="25" fillId="0" borderId="0" xfId="0" applyFont="1" applyBorder="1"/>
    <xf numFmtId="0" fontId="25" fillId="0" borderId="11" xfId="0" applyFont="1" applyBorder="1"/>
    <xf numFmtId="0" fontId="25" fillId="0" borderId="5" xfId="0" applyFont="1" applyBorder="1"/>
    <xf numFmtId="0" fontId="25" fillId="0" borderId="0" xfId="0" applyFont="1" applyAlignment="1">
      <alignment horizontal="center"/>
    </xf>
    <xf numFmtId="0" fontId="25" fillId="0" borderId="10" xfId="0" applyFont="1" applyFill="1" applyBorder="1"/>
    <xf numFmtId="0" fontId="27" fillId="0" borderId="0" xfId="0" applyFont="1" applyBorder="1" applyAlignment="1">
      <alignment horizontal="center"/>
    </xf>
    <xf numFmtId="0" fontId="27" fillId="0" borderId="11" xfId="0" applyFont="1" applyBorder="1" applyAlignment="1">
      <alignment horizontal="center"/>
    </xf>
    <xf numFmtId="0" fontId="27" fillId="0" borderId="10" xfId="0" applyFont="1" applyFill="1" applyBorder="1" applyAlignment="1">
      <alignment horizontal="left"/>
    </xf>
    <xf numFmtId="0" fontId="27" fillId="0" borderId="0" xfId="0" applyFont="1" applyBorder="1"/>
    <xf numFmtId="165" fontId="27" fillId="0" borderId="0" xfId="0" applyNumberFormat="1" applyFont="1"/>
    <xf numFmtId="169" fontId="25" fillId="0" borderId="0" xfId="0" applyNumberFormat="1" applyFont="1" applyBorder="1"/>
    <xf numFmtId="169" fontId="25" fillId="0" borderId="11" xfId="0" applyNumberFormat="1" applyFont="1" applyBorder="1"/>
    <xf numFmtId="43" fontId="25" fillId="0" borderId="0" xfId="0" applyNumberFormat="1" applyFont="1"/>
    <xf numFmtId="43" fontId="33" fillId="0" borderId="2" xfId="1" applyNumberFormat="1" applyFont="1" applyFill="1" applyBorder="1" applyAlignment="1">
      <alignment horizontal="center"/>
    </xf>
    <xf numFmtId="165" fontId="33" fillId="0" borderId="3" xfId="1" applyNumberFormat="1" applyFont="1" applyFill="1" applyBorder="1" applyAlignment="1">
      <alignment horizontal="center"/>
    </xf>
    <xf numFmtId="0" fontId="25" fillId="0" borderId="0" xfId="0" applyFont="1" applyFill="1" applyBorder="1"/>
    <xf numFmtId="9" fontId="30" fillId="0" borderId="2" xfId="0" applyNumberFormat="1" applyFont="1" applyFill="1" applyBorder="1" applyAlignment="1">
      <alignment horizontal="center"/>
    </xf>
    <xf numFmtId="9" fontId="30" fillId="0" borderId="2" xfId="2" applyFont="1" applyFill="1" applyBorder="1" applyAlignment="1">
      <alignment horizontal="center"/>
    </xf>
    <xf numFmtId="167" fontId="30" fillId="0" borderId="2" xfId="1" applyNumberFormat="1" applyFont="1" applyBorder="1" applyAlignment="1"/>
    <xf numFmtId="0" fontId="25" fillId="0" borderId="12" xfId="0" applyFont="1" applyBorder="1"/>
    <xf numFmtId="0" fontId="25" fillId="0" borderId="13" xfId="0" applyFont="1" applyBorder="1"/>
    <xf numFmtId="0" fontId="25" fillId="0" borderId="14" xfId="0" applyFont="1" applyBorder="1"/>
    <xf numFmtId="9" fontId="34" fillId="0" borderId="2" xfId="0" applyNumberFormat="1" applyFont="1" applyBorder="1"/>
    <xf numFmtId="177" fontId="34" fillId="0" borderId="2" xfId="0" applyNumberFormat="1" applyFont="1" applyBorder="1"/>
    <xf numFmtId="0" fontId="27" fillId="0" borderId="10" xfId="0" applyFont="1" applyBorder="1"/>
    <xf numFmtId="169" fontId="27" fillId="0" borderId="0" xfId="0" applyNumberFormat="1" applyFont="1" applyBorder="1"/>
    <xf numFmtId="0" fontId="25" fillId="0" borderId="6" xfId="0" applyFont="1" applyBorder="1"/>
    <xf numFmtId="17" fontId="28" fillId="3" borderId="8" xfId="0" applyNumberFormat="1" applyFont="1" applyFill="1" applyBorder="1"/>
    <xf numFmtId="17" fontId="28" fillId="3" borderId="4" xfId="0" applyNumberFormat="1" applyFont="1" applyFill="1" applyBorder="1"/>
    <xf numFmtId="17" fontId="28" fillId="3" borderId="8" xfId="0" applyNumberFormat="1" applyFont="1" applyFill="1" applyBorder="1" applyAlignment="1">
      <alignment horizontal="center"/>
    </xf>
    <xf numFmtId="17" fontId="28" fillId="3" borderId="9" xfId="0" applyNumberFormat="1" applyFont="1" applyFill="1" applyBorder="1" applyAlignment="1">
      <alignment horizontal="center"/>
    </xf>
    <xf numFmtId="9" fontId="30" fillId="0" borderId="0" xfId="0" applyNumberFormat="1" applyFont="1" applyBorder="1"/>
    <xf numFmtId="9" fontId="30" fillId="0" borderId="5" xfId="0" applyNumberFormat="1" applyFont="1" applyBorder="1"/>
    <xf numFmtId="9" fontId="30" fillId="0" borderId="11" xfId="0" applyNumberFormat="1" applyFont="1" applyBorder="1"/>
    <xf numFmtId="165" fontId="25" fillId="0" borderId="0" xfId="0" applyNumberFormat="1" applyFont="1" applyBorder="1"/>
    <xf numFmtId="165" fontId="25" fillId="0" borderId="5" xfId="0" applyNumberFormat="1" applyFont="1" applyBorder="1"/>
    <xf numFmtId="165" fontId="25" fillId="0" borderId="11" xfId="0" applyNumberFormat="1" applyFont="1" applyBorder="1"/>
    <xf numFmtId="165" fontId="31" fillId="0" borderId="0" xfId="1" applyNumberFormat="1" applyFont="1" applyBorder="1"/>
    <xf numFmtId="165" fontId="31" fillId="0" borderId="5" xfId="1" applyNumberFormat="1" applyFont="1" applyBorder="1"/>
    <xf numFmtId="165" fontId="31" fillId="0" borderId="11" xfId="1" applyNumberFormat="1" applyFont="1" applyBorder="1"/>
    <xf numFmtId="0" fontId="25" fillId="0" borderId="15" xfId="0" applyFont="1" applyBorder="1"/>
    <xf numFmtId="169" fontId="25" fillId="0" borderId="15" xfId="0" applyNumberFormat="1" applyFont="1" applyBorder="1"/>
    <xf numFmtId="169" fontId="25" fillId="0" borderId="18" xfId="0" applyNumberFormat="1" applyFont="1" applyBorder="1"/>
    <xf numFmtId="169" fontId="25" fillId="0" borderId="21" xfId="0" applyNumberFormat="1" applyFont="1" applyBorder="1"/>
    <xf numFmtId="169" fontId="25" fillId="0" borderId="5" xfId="0" applyNumberFormat="1" applyFont="1" applyBorder="1"/>
    <xf numFmtId="0" fontId="27" fillId="0" borderId="19" xfId="0" applyFont="1" applyBorder="1"/>
    <xf numFmtId="0" fontId="25" fillId="0" borderId="7" xfId="0" applyFont="1" applyBorder="1"/>
    <xf numFmtId="169" fontId="25" fillId="0" borderId="7" xfId="0" applyNumberFormat="1" applyFont="1" applyBorder="1"/>
    <xf numFmtId="169" fontId="25" fillId="0" borderId="17" xfId="0" applyNumberFormat="1" applyFont="1" applyBorder="1"/>
    <xf numFmtId="169" fontId="25" fillId="0" borderId="20" xfId="0" applyNumberFormat="1" applyFont="1" applyBorder="1"/>
    <xf numFmtId="0" fontId="35" fillId="0" borderId="12" xfId="0" applyFont="1" applyBorder="1"/>
    <xf numFmtId="0" fontId="35" fillId="0" borderId="13" xfId="0" applyFont="1" applyBorder="1"/>
    <xf numFmtId="9" fontId="35" fillId="0" borderId="13" xfId="2" applyFont="1" applyBorder="1"/>
    <xf numFmtId="9" fontId="35" fillId="0" borderId="14" xfId="2" applyFont="1" applyBorder="1"/>
    <xf numFmtId="0" fontId="35" fillId="0" borderId="0" xfId="0" applyFont="1"/>
    <xf numFmtId="9" fontId="35" fillId="0" borderId="0" xfId="2" applyFont="1"/>
    <xf numFmtId="43" fontId="25" fillId="0" borderId="0" xfId="0" applyNumberFormat="1" applyFont="1" applyBorder="1"/>
    <xf numFmtId="43" fontId="25" fillId="0" borderId="5" xfId="0" applyNumberFormat="1" applyFont="1" applyBorder="1"/>
    <xf numFmtId="0" fontId="25" fillId="0" borderId="17" xfId="0" applyFont="1" applyBorder="1"/>
    <xf numFmtId="169" fontId="25" fillId="0" borderId="13" xfId="0" applyNumberFormat="1" applyFont="1" applyBorder="1"/>
    <xf numFmtId="169" fontId="25" fillId="0" borderId="14" xfId="0" applyNumberFormat="1" applyFont="1" applyBorder="1"/>
    <xf numFmtId="0" fontId="25" fillId="0" borderId="19" xfId="0" applyFont="1" applyBorder="1"/>
    <xf numFmtId="0" fontId="25" fillId="0" borderId="19" xfId="0" applyFont="1" applyBorder="1" applyAlignment="1">
      <alignment horizontal="center"/>
    </xf>
    <xf numFmtId="0" fontId="27" fillId="5" borderId="1" xfId="0" applyFont="1" applyFill="1" applyBorder="1"/>
    <xf numFmtId="169" fontId="27" fillId="5" borderId="8" xfId="0" applyNumberFormat="1" applyFont="1" applyFill="1" applyBorder="1" applyAlignment="1">
      <alignment horizontal="right"/>
    </xf>
    <xf numFmtId="0" fontId="25" fillId="0" borderId="8" xfId="0" applyFont="1" applyBorder="1"/>
    <xf numFmtId="0" fontId="25" fillId="0" borderId="9" xfId="0" applyFont="1" applyBorder="1"/>
    <xf numFmtId="169" fontId="27" fillId="0" borderId="0" xfId="0" applyNumberFormat="1" applyFont="1" applyBorder="1" applyAlignment="1">
      <alignment horizontal="right"/>
    </xf>
    <xf numFmtId="169" fontId="25" fillId="0" borderId="0" xfId="0" applyNumberFormat="1" applyFont="1" applyFill="1" applyBorder="1"/>
    <xf numFmtId="169" fontId="25" fillId="0" borderId="11" xfId="0" applyNumberFormat="1" applyFont="1" applyFill="1" applyBorder="1"/>
    <xf numFmtId="9" fontId="25" fillId="0" borderId="0" xfId="2" applyFont="1" applyBorder="1"/>
    <xf numFmtId="0" fontId="25" fillId="0" borderId="12" xfId="0" applyFont="1" applyFill="1" applyBorder="1"/>
    <xf numFmtId="177" fontId="25" fillId="0" borderId="13" xfId="0" applyNumberFormat="1" applyFont="1" applyBorder="1"/>
    <xf numFmtId="169" fontId="25" fillId="0" borderId="13" xfId="0" applyNumberFormat="1" applyFont="1" applyFill="1" applyBorder="1"/>
    <xf numFmtId="169" fontId="25" fillId="0" borderId="14" xfId="0" applyNumberFormat="1" applyFont="1" applyFill="1" applyBorder="1"/>
    <xf numFmtId="169" fontId="25" fillId="0" borderId="0" xfId="0" applyNumberFormat="1" applyFont="1"/>
    <xf numFmtId="0" fontId="25" fillId="0" borderId="10" xfId="0" applyFont="1" applyBorder="1" applyAlignment="1">
      <alignment horizontal="center"/>
    </xf>
    <xf numFmtId="9" fontId="25" fillId="0" borderId="11" xfId="2" applyFont="1" applyBorder="1"/>
    <xf numFmtId="170" fontId="25" fillId="0" borderId="0" xfId="0" applyNumberFormat="1" applyFont="1" applyBorder="1"/>
    <xf numFmtId="170" fontId="25" fillId="0" borderId="11" xfId="0" applyNumberFormat="1" applyFont="1" applyBorder="1"/>
    <xf numFmtId="2" fontId="25" fillId="0" borderId="0" xfId="0" applyNumberFormat="1" applyFont="1" applyBorder="1"/>
    <xf numFmtId="2" fontId="25" fillId="0" borderId="11" xfId="0" applyNumberFormat="1" applyFont="1" applyBorder="1"/>
    <xf numFmtId="9" fontId="25" fillId="0" borderId="0" xfId="0" applyNumberFormat="1" applyFont="1" applyBorder="1" applyAlignment="1">
      <alignment horizontal="center"/>
    </xf>
    <xf numFmtId="169" fontId="30" fillId="0" borderId="0" xfId="0" applyNumberFormat="1" applyFont="1" applyBorder="1"/>
    <xf numFmtId="169" fontId="31" fillId="0" borderId="0" xfId="0" applyNumberFormat="1" applyFont="1" applyBorder="1"/>
    <xf numFmtId="169" fontId="31" fillId="0" borderId="11" xfId="0" applyNumberFormat="1" applyFont="1" applyBorder="1"/>
    <xf numFmtId="169" fontId="30" fillId="0" borderId="11" xfId="0" applyNumberFormat="1" applyFont="1" applyBorder="1"/>
    <xf numFmtId="9" fontId="36" fillId="0" borderId="0" xfId="0" applyNumberFormat="1" applyFont="1" applyBorder="1" applyAlignment="1">
      <alignment horizontal="center"/>
    </xf>
    <xf numFmtId="0" fontId="25" fillId="0" borderId="16" xfId="0" applyFont="1" applyFill="1" applyBorder="1"/>
    <xf numFmtId="0" fontId="25" fillId="0" borderId="16" xfId="0" applyFont="1" applyBorder="1"/>
    <xf numFmtId="169" fontId="25" fillId="0" borderId="16" xfId="0" applyNumberFormat="1" applyFont="1" applyBorder="1"/>
    <xf numFmtId="169" fontId="25" fillId="0" borderId="27" xfId="0" applyNumberFormat="1" applyFont="1" applyBorder="1"/>
    <xf numFmtId="0" fontId="25" fillId="0" borderId="26" xfId="0" applyFont="1" applyBorder="1"/>
    <xf numFmtId="165" fontId="30" fillId="10" borderId="0" xfId="1" applyNumberFormat="1" applyFont="1" applyFill="1" applyBorder="1" applyAlignment="1"/>
    <xf numFmtId="165" fontId="30" fillId="10" borderId="11" xfId="1" applyNumberFormat="1" applyFont="1" applyFill="1" applyBorder="1" applyAlignment="1"/>
    <xf numFmtId="165" fontId="27" fillId="0" borderId="29" xfId="1" applyNumberFormat="1" applyFont="1" applyBorder="1"/>
    <xf numFmtId="165" fontId="27" fillId="0" borderId="16" xfId="1" applyNumberFormat="1" applyFont="1" applyBorder="1"/>
    <xf numFmtId="171" fontId="32" fillId="0" borderId="16" xfId="1" applyNumberFormat="1" applyFont="1" applyBorder="1" applyAlignment="1"/>
    <xf numFmtId="171" fontId="32" fillId="0" borderId="26" xfId="1" applyNumberFormat="1" applyFont="1" applyBorder="1" applyAlignment="1"/>
    <xf numFmtId="165" fontId="27" fillId="0" borderId="55" xfId="1" applyNumberFormat="1" applyFont="1" applyBorder="1"/>
    <xf numFmtId="165" fontId="27" fillId="0" borderId="30" xfId="1" applyNumberFormat="1" applyFont="1" applyBorder="1"/>
    <xf numFmtId="171" fontId="32" fillId="0" borderId="15" xfId="1" applyNumberFormat="1" applyFont="1" applyBorder="1" applyAlignment="1"/>
    <xf numFmtId="171" fontId="32" fillId="0" borderId="21" xfId="1" applyNumberFormat="1" applyFont="1" applyBorder="1" applyAlignment="1"/>
    <xf numFmtId="165" fontId="25" fillId="0" borderId="61" xfId="1" applyNumberFormat="1" applyFont="1" applyBorder="1"/>
    <xf numFmtId="165" fontId="25" fillId="0" borderId="62" xfId="1" applyNumberFormat="1" applyFont="1" applyBorder="1"/>
    <xf numFmtId="167" fontId="31" fillId="0" borderId="62" xfId="1" applyNumberFormat="1" applyFont="1" applyBorder="1" applyAlignment="1"/>
    <xf numFmtId="167" fontId="31" fillId="0" borderId="63" xfId="1" applyNumberFormat="1" applyFont="1" applyBorder="1" applyAlignment="1"/>
    <xf numFmtId="165" fontId="25" fillId="0" borderId="55" xfId="1" applyNumberFormat="1" applyFont="1" applyBorder="1" applyAlignment="1">
      <alignment horizontal="left" indent="2"/>
    </xf>
    <xf numFmtId="165" fontId="25" fillId="0" borderId="15" xfId="1" applyNumberFormat="1" applyFont="1" applyBorder="1" applyAlignment="1"/>
    <xf numFmtId="165" fontId="25" fillId="0" borderId="21" xfId="1" applyNumberFormat="1" applyFont="1" applyBorder="1" applyAlignment="1"/>
    <xf numFmtId="165" fontId="27" fillId="0" borderId="31" xfId="1" applyNumberFormat="1" applyFont="1" applyBorder="1"/>
    <xf numFmtId="165" fontId="25" fillId="0" borderId="64" xfId="1" applyNumberFormat="1" applyFont="1" applyBorder="1"/>
    <xf numFmtId="165" fontId="32" fillId="4" borderId="64" xfId="1" applyNumberFormat="1" applyFont="1" applyFill="1" applyBorder="1" applyAlignment="1">
      <alignment horizontal="center"/>
    </xf>
    <xf numFmtId="167" fontId="31" fillId="0" borderId="16" xfId="1" applyNumberFormat="1" applyFont="1" applyBorder="1" applyAlignment="1"/>
    <xf numFmtId="167" fontId="31" fillId="0" borderId="26" xfId="1" applyNumberFormat="1" applyFont="1" applyBorder="1" applyAlignment="1"/>
    <xf numFmtId="165" fontId="25" fillId="0" borderId="16" xfId="1" applyNumberFormat="1" applyFont="1" applyBorder="1" applyAlignment="1"/>
    <xf numFmtId="165" fontId="27" fillId="0" borderId="53" xfId="1" applyNumberFormat="1" applyFont="1" applyBorder="1"/>
    <xf numFmtId="165" fontId="27" fillId="0" borderId="65" xfId="1" applyNumberFormat="1" applyFont="1" applyBorder="1"/>
    <xf numFmtId="165" fontId="32" fillId="4" borderId="25" xfId="1" applyNumberFormat="1" applyFont="1" applyFill="1" applyBorder="1" applyAlignment="1">
      <alignment horizontal="center"/>
    </xf>
    <xf numFmtId="165" fontId="25" fillId="0" borderId="53" xfId="1" applyNumberFormat="1" applyFont="1" applyBorder="1"/>
    <xf numFmtId="165" fontId="25" fillId="0" borderId="26" xfId="1" applyNumberFormat="1" applyFont="1" applyBorder="1" applyAlignment="1"/>
    <xf numFmtId="165" fontId="25" fillId="0" borderId="59" xfId="1" applyNumberFormat="1" applyFont="1" applyBorder="1"/>
    <xf numFmtId="0" fontId="20" fillId="0" borderId="0" xfId="3" applyFont="1" applyAlignment="1">
      <alignment horizontal="left"/>
    </xf>
    <xf numFmtId="0" fontId="38" fillId="0" borderId="0" xfId="0" applyFont="1"/>
    <xf numFmtId="3" fontId="34" fillId="0" borderId="16" xfId="0" applyNumberFormat="1" applyFont="1" applyBorder="1" applyAlignment="1">
      <alignment horizontal="center"/>
    </xf>
    <xf numFmtId="3" fontId="34" fillId="0" borderId="27" xfId="0" applyNumberFormat="1" applyFont="1" applyBorder="1" applyAlignment="1">
      <alignment horizontal="center"/>
    </xf>
    <xf numFmtId="176" fontId="34" fillId="0" borderId="15" xfId="2" applyNumberFormat="1" applyFont="1" applyBorder="1" applyAlignment="1">
      <alignment horizontal="center"/>
    </xf>
    <xf numFmtId="176" fontId="34" fillId="0" borderId="18" xfId="2" applyNumberFormat="1" applyFont="1" applyBorder="1" applyAlignment="1">
      <alignment horizontal="center"/>
    </xf>
    <xf numFmtId="0" fontId="27" fillId="0" borderId="29" xfId="0" applyFont="1" applyBorder="1"/>
    <xf numFmtId="0" fontId="25" fillId="0" borderId="29" xfId="0" applyFont="1" applyBorder="1"/>
    <xf numFmtId="9" fontId="34" fillId="0" borderId="16" xfId="2" applyFont="1" applyBorder="1" applyAlignment="1">
      <alignment horizontal="center"/>
    </xf>
    <xf numFmtId="9" fontId="34" fillId="0" borderId="27" xfId="2" applyFont="1" applyBorder="1" applyAlignment="1">
      <alignment horizontal="center"/>
    </xf>
    <xf numFmtId="0" fontId="25" fillId="0" borderId="55" xfId="0" applyFont="1" applyFill="1" applyBorder="1"/>
    <xf numFmtId="176" fontId="34" fillId="0" borderId="0" xfId="2" applyNumberFormat="1" applyFont="1" applyBorder="1" applyAlignment="1">
      <alignment horizontal="center"/>
    </xf>
    <xf numFmtId="176" fontId="34" fillId="0" borderId="5" xfId="2" applyNumberFormat="1" applyFont="1" applyBorder="1" applyAlignment="1">
      <alignment horizontal="center"/>
    </xf>
    <xf numFmtId="0" fontId="25" fillId="0" borderId="30" xfId="0" applyFont="1" applyFill="1" applyBorder="1"/>
    <xf numFmtId="176" fontId="30" fillId="0" borderId="18" xfId="2" applyNumberFormat="1" applyFont="1" applyBorder="1" applyAlignment="1">
      <alignment horizontal="center"/>
    </xf>
    <xf numFmtId="0" fontId="25" fillId="0" borderId="29" xfId="0" applyFont="1" applyFill="1" applyBorder="1"/>
    <xf numFmtId="9" fontId="34" fillId="0" borderId="16" xfId="2" applyNumberFormat="1" applyFont="1" applyBorder="1" applyAlignment="1">
      <alignment horizontal="center"/>
    </xf>
    <xf numFmtId="165" fontId="25" fillId="0" borderId="27" xfId="1" applyNumberFormat="1" applyFont="1" applyBorder="1"/>
    <xf numFmtId="167" fontId="36" fillId="0" borderId="0" xfId="1" applyNumberFormat="1" applyFont="1" applyBorder="1"/>
    <xf numFmtId="165" fontId="25" fillId="0" borderId="5" xfId="1" applyNumberFormat="1" applyFont="1" applyBorder="1"/>
    <xf numFmtId="9" fontId="34" fillId="0" borderId="0" xfId="2" applyNumberFormat="1" applyFont="1" applyBorder="1" applyAlignment="1">
      <alignment horizontal="center"/>
    </xf>
    <xf numFmtId="176" fontId="33" fillId="0" borderId="5" xfId="2" applyNumberFormat="1" applyFont="1" applyBorder="1" applyAlignment="1">
      <alignment horizontal="center"/>
    </xf>
    <xf numFmtId="176" fontId="33" fillId="0" borderId="27" xfId="2" applyNumberFormat="1" applyFont="1" applyBorder="1" applyAlignment="1">
      <alignment horizontal="center"/>
    </xf>
    <xf numFmtId="0" fontId="25" fillId="0" borderId="30" xfId="0" applyFont="1" applyBorder="1"/>
    <xf numFmtId="3" fontId="34" fillId="0" borderId="15" xfId="0" applyNumberFormat="1" applyFont="1" applyBorder="1" applyAlignment="1">
      <alignment horizontal="center"/>
    </xf>
    <xf numFmtId="3" fontId="34" fillId="0" borderId="18" xfId="0" applyNumberFormat="1" applyFont="1" applyBorder="1" applyAlignment="1">
      <alignment horizontal="center"/>
    </xf>
    <xf numFmtId="175" fontId="36" fillId="0" borderId="16" xfId="0" applyNumberFormat="1" applyFont="1" applyBorder="1" applyAlignment="1">
      <alignment horizontal="center"/>
    </xf>
    <xf numFmtId="175" fontId="36" fillId="0" borderId="27" xfId="0" applyNumberFormat="1" applyFont="1" applyBorder="1" applyAlignment="1">
      <alignment horizontal="center"/>
    </xf>
    <xf numFmtId="0" fontId="25" fillId="0" borderId="55" xfId="0" applyFont="1" applyBorder="1"/>
    <xf numFmtId="175" fontId="36" fillId="0" borderId="0" xfId="0" applyNumberFormat="1" applyFont="1" applyBorder="1" applyAlignment="1">
      <alignment horizontal="center"/>
    </xf>
    <xf numFmtId="175" fontId="36" fillId="0" borderId="5" xfId="0" applyNumberFormat="1" applyFont="1" applyBorder="1" applyAlignment="1">
      <alignment horizontal="center"/>
    </xf>
    <xf numFmtId="176" fontId="36" fillId="0" borderId="0" xfId="2" applyNumberFormat="1" applyFont="1" applyBorder="1" applyAlignment="1">
      <alignment horizontal="center"/>
    </xf>
    <xf numFmtId="176" fontId="36" fillId="0" borderId="5" xfId="2" applyNumberFormat="1" applyFont="1" applyBorder="1" applyAlignment="1">
      <alignment horizontal="center"/>
    </xf>
    <xf numFmtId="10" fontId="36" fillId="0" borderId="15" xfId="2" applyNumberFormat="1" applyFont="1" applyBorder="1" applyAlignment="1">
      <alignment horizontal="center"/>
    </xf>
    <xf numFmtId="10" fontId="36" fillId="0" borderId="18" xfId="2" applyNumberFormat="1" applyFont="1" applyBorder="1" applyAlignment="1">
      <alignment horizontal="center"/>
    </xf>
    <xf numFmtId="3" fontId="34" fillId="0" borderId="0" xfId="0" applyNumberFormat="1" applyFont="1" applyBorder="1" applyAlignment="1">
      <alignment horizontal="center"/>
    </xf>
    <xf numFmtId="3" fontId="34" fillId="0" borderId="5" xfId="0" applyNumberFormat="1" applyFont="1" applyBorder="1" applyAlignment="1">
      <alignment horizontal="center"/>
    </xf>
    <xf numFmtId="0" fontId="29" fillId="3" borderId="0" xfId="0" applyFont="1" applyFill="1"/>
    <xf numFmtId="0" fontId="29" fillId="3" borderId="0" xfId="0" applyFont="1" applyFill="1" applyAlignment="1">
      <alignment horizontal="center"/>
    </xf>
    <xf numFmtId="0" fontId="27" fillId="0" borderId="8" xfId="0" applyFont="1" applyBorder="1" applyAlignment="1">
      <alignment horizontal="center"/>
    </xf>
    <xf numFmtId="0" fontId="27" fillId="0" borderId="9" xfId="0" applyFont="1" applyBorder="1" applyAlignment="1">
      <alignment horizontal="center"/>
    </xf>
    <xf numFmtId="0" fontId="25" fillId="0" borderId="1" xfId="0" applyFont="1" applyBorder="1"/>
    <xf numFmtId="174" fontId="34" fillId="0" borderId="60" xfId="0" applyNumberFormat="1" applyFont="1" applyBorder="1" applyAlignment="1">
      <alignment horizontal="center"/>
    </xf>
    <xf numFmtId="174" fontId="34" fillId="0" borderId="9" xfId="0" applyNumberFormat="1" applyFont="1" applyBorder="1" applyAlignment="1">
      <alignment horizontal="center"/>
    </xf>
    <xf numFmtId="3" fontId="34" fillId="0" borderId="55" xfId="0" applyNumberFormat="1" applyFont="1" applyBorder="1" applyAlignment="1">
      <alignment horizontal="center"/>
    </xf>
    <xf numFmtId="3" fontId="34" fillId="0" borderId="11" xfId="0" applyNumberFormat="1" applyFont="1" applyBorder="1" applyAlignment="1">
      <alignment horizontal="center"/>
    </xf>
    <xf numFmtId="172" fontId="25" fillId="0" borderId="0" xfId="0" applyNumberFormat="1" applyFont="1"/>
    <xf numFmtId="3" fontId="34" fillId="0" borderId="59" xfId="0" applyNumberFormat="1" applyFont="1" applyBorder="1" applyAlignment="1">
      <alignment horizontal="center"/>
    </xf>
    <xf numFmtId="3" fontId="34" fillId="0" borderId="14" xfId="0" applyNumberFormat="1" applyFont="1" applyBorder="1" applyAlignment="1">
      <alignment horizontal="center"/>
    </xf>
    <xf numFmtId="3" fontId="34" fillId="0" borderId="8" xfId="0" applyNumberFormat="1" applyFont="1" applyBorder="1" applyAlignment="1">
      <alignment horizontal="center"/>
    </xf>
    <xf numFmtId="3" fontId="34" fillId="0" borderId="9" xfId="0" applyNumberFormat="1" applyFont="1" applyBorder="1" applyAlignment="1">
      <alignment horizontal="center"/>
    </xf>
    <xf numFmtId="4" fontId="34" fillId="0" borderId="60" xfId="0" applyNumberFormat="1" applyFont="1" applyBorder="1" applyAlignment="1">
      <alignment horizontal="center"/>
    </xf>
    <xf numFmtId="4" fontId="34" fillId="0" borderId="9" xfId="0" applyNumberFormat="1" applyFont="1" applyBorder="1" applyAlignment="1">
      <alignment horizontal="center"/>
    </xf>
    <xf numFmtId="4" fontId="34" fillId="0" borderId="55" xfId="0" applyNumberFormat="1" applyFont="1" applyBorder="1" applyAlignment="1">
      <alignment horizontal="center"/>
    </xf>
    <xf numFmtId="4" fontId="34" fillId="0" borderId="11" xfId="0" applyNumberFormat="1" applyFont="1" applyBorder="1" applyAlignment="1">
      <alignment horizontal="center"/>
    </xf>
    <xf numFmtId="3" fontId="34" fillId="0" borderId="0" xfId="0" applyNumberFormat="1" applyFont="1" applyAlignment="1">
      <alignment horizontal="center"/>
    </xf>
    <xf numFmtId="173" fontId="25" fillId="0" borderId="0" xfId="0" applyNumberFormat="1" applyFont="1"/>
    <xf numFmtId="0" fontId="25" fillId="0" borderId="0" xfId="0" applyFont="1" applyFill="1"/>
    <xf numFmtId="176" fontId="34" fillId="0" borderId="0" xfId="2" applyNumberFormat="1" applyFont="1" applyAlignment="1">
      <alignment horizontal="center"/>
    </xf>
    <xf numFmtId="173" fontId="25" fillId="0" borderId="0" xfId="0" applyNumberFormat="1" applyFont="1" applyAlignment="1">
      <alignment horizontal="center"/>
    </xf>
  </cellXfs>
  <cellStyles count="4">
    <cellStyle name="Comma" xfId="1" builtinId="3"/>
    <cellStyle name="Normal" xfId="0" builtinId="0"/>
    <cellStyle name="Normal 2" xfId="3"/>
    <cellStyle name="Percent" xfId="2" builtinId="5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0000CC"/>
      <color rgb="FF00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476250</xdr:colOff>
      <xdr:row>0</xdr:row>
      <xdr:rowOff>1</xdr:rowOff>
    </xdr:from>
    <xdr:to>
      <xdr:col>13</xdr:col>
      <xdr:colOff>0</xdr:colOff>
      <xdr:row>9</xdr:row>
      <xdr:rowOff>142876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9125" y="1"/>
          <a:ext cx="3016250" cy="18097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emolaadesina/OneDrive/Documents/Rensource/System%20Designs/Pricing%20tool%20v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 Pricing Live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0"/>
  <sheetViews>
    <sheetView showGridLines="0" zoomScale="80" zoomScaleNormal="80" zoomScalePageLayoutView="80" workbookViewId="0">
      <selection activeCell="L8" sqref="L8"/>
    </sheetView>
  </sheetViews>
  <sheetFormatPr defaultColWidth="0" defaultRowHeight="12.75" zeroHeight="1" x14ac:dyDescent="0.2"/>
  <cols>
    <col min="1" max="1" width="4.28515625" style="149" customWidth="1"/>
    <col min="2" max="13" width="9.140625" style="149" customWidth="1"/>
    <col min="14" max="16384" width="9.140625" style="149" hidden="1"/>
  </cols>
  <sheetData>
    <row r="1" spans="2:12" x14ac:dyDescent="0.2">
      <c r="B1" s="148"/>
    </row>
    <row r="2" spans="2:12" ht="18" x14ac:dyDescent="0.25">
      <c r="B2" s="150" t="s">
        <v>233</v>
      </c>
    </row>
    <row r="3" spans="2:12" s="153" customFormat="1" x14ac:dyDescent="0.2">
      <c r="B3" s="153" t="s">
        <v>270</v>
      </c>
    </row>
    <row r="4" spans="2:12" s="153" customFormat="1" ht="15" x14ac:dyDescent="0.25">
      <c r="B4" s="378" t="s">
        <v>271</v>
      </c>
      <c r="K4" s="379"/>
    </row>
    <row r="5" spans="2:12" s="153" customFormat="1" ht="15" x14ac:dyDescent="0.25">
      <c r="B5" s="378" t="s">
        <v>272</v>
      </c>
    </row>
    <row r="6" spans="2:12" s="153" customFormat="1" x14ac:dyDescent="0.2">
      <c r="B6" s="153" t="s">
        <v>234</v>
      </c>
    </row>
    <row r="7" spans="2:12" x14ac:dyDescent="0.2"/>
    <row r="8" spans="2:12" ht="18" x14ac:dyDescent="0.25">
      <c r="B8" s="150" t="s">
        <v>235</v>
      </c>
      <c r="C8" s="151"/>
      <c r="D8" s="151"/>
      <c r="E8" s="151"/>
      <c r="F8" s="151"/>
      <c r="G8" s="151"/>
      <c r="H8" s="151"/>
      <c r="I8" s="151"/>
      <c r="J8" s="151"/>
      <c r="K8" s="151"/>
    </row>
    <row r="9" spans="2:12" ht="15.75" x14ac:dyDescent="0.25">
      <c r="B9" s="152" t="s">
        <v>259</v>
      </c>
      <c r="C9" s="153"/>
      <c r="D9" s="153"/>
      <c r="E9" s="153"/>
      <c r="F9" s="153"/>
      <c r="G9" s="153"/>
      <c r="H9" s="153"/>
    </row>
    <row r="10" spans="2:12" x14ac:dyDescent="0.2">
      <c r="B10" s="153" t="s">
        <v>263</v>
      </c>
      <c r="C10" s="153"/>
      <c r="D10" s="153"/>
      <c r="E10" s="153"/>
      <c r="F10" s="153"/>
      <c r="G10" s="153"/>
      <c r="H10" s="153"/>
    </row>
    <row r="11" spans="2:12" x14ac:dyDescent="0.2">
      <c r="B11" s="153"/>
      <c r="C11" s="153"/>
      <c r="D11" s="153"/>
      <c r="E11" s="153"/>
      <c r="F11" s="153"/>
      <c r="G11" s="153"/>
      <c r="H11" s="153"/>
    </row>
    <row r="12" spans="2:12" ht="15.75" x14ac:dyDescent="0.25">
      <c r="B12" s="152" t="s">
        <v>264</v>
      </c>
      <c r="C12" s="153"/>
      <c r="D12" s="153"/>
      <c r="E12" s="153"/>
      <c r="F12" s="153"/>
      <c r="G12" s="153"/>
      <c r="H12" s="153"/>
    </row>
    <row r="13" spans="2:12" x14ac:dyDescent="0.2">
      <c r="B13" s="153" t="s">
        <v>265</v>
      </c>
      <c r="C13" s="153"/>
      <c r="D13" s="153"/>
      <c r="E13" s="153"/>
      <c r="F13" s="153"/>
      <c r="G13" s="153"/>
      <c r="H13" s="153"/>
    </row>
    <row r="14" spans="2:12" x14ac:dyDescent="0.2">
      <c r="B14" s="153"/>
      <c r="C14" s="153"/>
      <c r="D14" s="153"/>
      <c r="E14" s="153"/>
      <c r="F14" s="153"/>
      <c r="G14" s="153"/>
      <c r="H14" s="153"/>
    </row>
    <row r="15" spans="2:12" ht="15.75" x14ac:dyDescent="0.25">
      <c r="B15" s="152" t="s">
        <v>266</v>
      </c>
      <c r="C15" s="153"/>
      <c r="D15" s="153"/>
      <c r="E15" s="153"/>
      <c r="F15" s="153"/>
      <c r="G15" s="153"/>
      <c r="H15" s="153"/>
      <c r="I15" s="154"/>
      <c r="J15" s="154"/>
      <c r="K15" s="154"/>
      <c r="L15" s="154"/>
    </row>
    <row r="16" spans="2:12" x14ac:dyDescent="0.2">
      <c r="B16" s="153" t="s">
        <v>267</v>
      </c>
      <c r="C16" s="153"/>
      <c r="D16" s="153"/>
      <c r="E16" s="153"/>
      <c r="F16" s="153"/>
      <c r="G16" s="153"/>
      <c r="H16" s="153"/>
      <c r="I16" s="153"/>
      <c r="J16" s="153"/>
      <c r="K16" s="153"/>
      <c r="L16" s="153"/>
    </row>
    <row r="17" spans="2:9" x14ac:dyDescent="0.2">
      <c r="B17" s="155"/>
      <c r="C17" s="155"/>
      <c r="D17" s="155"/>
      <c r="E17" s="155"/>
      <c r="F17" s="155"/>
      <c r="G17" s="155"/>
      <c r="H17" s="155"/>
      <c r="I17" s="155"/>
    </row>
    <row r="18" spans="2:9" ht="15.75" x14ac:dyDescent="0.25">
      <c r="B18" s="152" t="s">
        <v>268</v>
      </c>
      <c r="C18" s="153"/>
      <c r="D18" s="153"/>
      <c r="E18" s="153"/>
      <c r="F18" s="153"/>
      <c r="G18" s="153"/>
      <c r="H18" s="153"/>
      <c r="I18" s="155"/>
    </row>
    <row r="19" spans="2:9" x14ac:dyDescent="0.2">
      <c r="B19" s="153" t="s">
        <v>269</v>
      </c>
      <c r="C19" s="153"/>
      <c r="D19" s="153"/>
      <c r="E19" s="153"/>
      <c r="F19" s="153"/>
      <c r="G19" s="153"/>
      <c r="H19" s="153"/>
      <c r="I19" s="155"/>
    </row>
    <row r="20" spans="2:9" x14ac:dyDescent="0.2"/>
    <row r="21" spans="2:9" hidden="1" x14ac:dyDescent="0.2"/>
    <row r="22" spans="2:9" hidden="1" x14ac:dyDescent="0.2"/>
    <row r="23" spans="2:9" hidden="1" x14ac:dyDescent="0.2"/>
    <row r="24" spans="2:9" hidden="1" x14ac:dyDescent="0.2"/>
    <row r="25" spans="2:9" hidden="1" x14ac:dyDescent="0.2"/>
    <row r="26" spans="2:9" hidden="1" x14ac:dyDescent="0.2"/>
    <row r="27" spans="2:9" hidden="1" x14ac:dyDescent="0.2"/>
    <row r="28" spans="2:9" hidden="1" x14ac:dyDescent="0.2"/>
    <row r="29" spans="2:9" hidden="1" x14ac:dyDescent="0.2"/>
    <row r="30" spans="2:9" hidden="1" x14ac:dyDescent="0.2"/>
    <row r="31" spans="2:9" hidden="1" x14ac:dyDescent="0.2"/>
    <row r="32" spans="2:9" hidden="1" x14ac:dyDescent="0.2"/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3"/>
  <sheetViews>
    <sheetView showGridLines="0" zoomScale="80" zoomScaleNormal="80" zoomScalePageLayoutView="80" workbookViewId="0">
      <selection activeCell="E11" sqref="E11"/>
    </sheetView>
  </sheetViews>
  <sheetFormatPr defaultColWidth="0" defaultRowHeight="13.5" zeroHeight="1" x14ac:dyDescent="0.25"/>
  <cols>
    <col min="1" max="1" width="4.85546875" style="247" customWidth="1"/>
    <col min="2" max="2" width="57.7109375" style="247" bestFit="1" customWidth="1"/>
    <col min="3" max="4" width="13.85546875" style="259" customWidth="1"/>
    <col min="5" max="5" width="8.85546875" style="247" customWidth="1"/>
    <col min="6" max="6" width="13.42578125" style="247" hidden="1" customWidth="1"/>
    <col min="7" max="7" width="14" style="247" hidden="1" customWidth="1"/>
    <col min="8" max="16384" width="8.85546875" style="247" hidden="1"/>
  </cols>
  <sheetData>
    <row r="1" spans="1:7" x14ac:dyDescent="0.25">
      <c r="B1" s="248" t="s">
        <v>259</v>
      </c>
    </row>
    <row r="2" spans="1:7" x14ac:dyDescent="0.25"/>
    <row r="3" spans="1:7" ht="14.25" thickBot="1" x14ac:dyDescent="0.3">
      <c r="B3" s="415" t="s">
        <v>223</v>
      </c>
      <c r="C3" s="416" t="s">
        <v>16</v>
      </c>
      <c r="D3" s="416" t="s">
        <v>222</v>
      </c>
    </row>
    <row r="4" spans="1:7" ht="14.25" thickBot="1" x14ac:dyDescent="0.3">
      <c r="B4" s="236" t="s">
        <v>260</v>
      </c>
      <c r="C4" s="417"/>
      <c r="D4" s="418"/>
    </row>
    <row r="5" spans="1:7" x14ac:dyDescent="0.25">
      <c r="B5" s="419" t="s">
        <v>169</v>
      </c>
      <c r="C5" s="420"/>
      <c r="D5" s="421"/>
    </row>
    <row r="6" spans="1:7" x14ac:dyDescent="0.25">
      <c r="B6" s="255" t="s">
        <v>3</v>
      </c>
      <c r="C6" s="422"/>
      <c r="D6" s="423"/>
      <c r="G6" s="424"/>
    </row>
    <row r="7" spans="1:7" x14ac:dyDescent="0.25">
      <c r="B7" s="255" t="s">
        <v>144</v>
      </c>
      <c r="C7" s="422"/>
      <c r="D7" s="423"/>
      <c r="G7" s="424"/>
    </row>
    <row r="8" spans="1:7" x14ac:dyDescent="0.25">
      <c r="B8" s="255" t="s">
        <v>1</v>
      </c>
      <c r="C8" s="422"/>
      <c r="D8" s="423"/>
      <c r="G8" s="424"/>
    </row>
    <row r="9" spans="1:7" x14ac:dyDescent="0.25">
      <c r="B9" s="255" t="s">
        <v>167</v>
      </c>
      <c r="C9" s="422"/>
      <c r="D9" s="423"/>
      <c r="G9" s="424"/>
    </row>
    <row r="10" spans="1:7" x14ac:dyDescent="0.25">
      <c r="B10" s="255" t="s">
        <v>237</v>
      </c>
      <c r="C10" s="422"/>
      <c r="D10" s="423"/>
      <c r="G10" s="424"/>
    </row>
    <row r="11" spans="1:7" ht="14.25" thickBot="1" x14ac:dyDescent="0.3">
      <c r="B11" s="275" t="s">
        <v>17</v>
      </c>
      <c r="C11" s="425"/>
      <c r="D11" s="426"/>
      <c r="G11" s="424"/>
    </row>
    <row r="12" spans="1:7" ht="14.25" thickBot="1" x14ac:dyDescent="0.3">
      <c r="B12" s="255"/>
      <c r="C12" s="413"/>
      <c r="D12" s="423"/>
      <c r="G12" s="424"/>
    </row>
    <row r="13" spans="1:7" ht="14.25" thickBot="1" x14ac:dyDescent="0.3">
      <c r="B13" s="236" t="s">
        <v>152</v>
      </c>
      <c r="C13" s="427"/>
      <c r="D13" s="428"/>
      <c r="G13" s="166"/>
    </row>
    <row r="14" spans="1:7" x14ac:dyDescent="0.25">
      <c r="A14" s="164"/>
      <c r="B14" s="209" t="s">
        <v>238</v>
      </c>
      <c r="C14" s="429"/>
      <c r="D14" s="430"/>
      <c r="G14" s="166"/>
    </row>
    <row r="15" spans="1:7" x14ac:dyDescent="0.25">
      <c r="A15" s="168"/>
      <c r="B15" s="168" t="s">
        <v>239</v>
      </c>
      <c r="C15" s="431"/>
      <c r="D15" s="432"/>
      <c r="G15" s="166"/>
    </row>
    <row r="16" spans="1:7" x14ac:dyDescent="0.25">
      <c r="A16" s="166"/>
      <c r="B16" s="168" t="s">
        <v>240</v>
      </c>
      <c r="C16" s="422"/>
      <c r="D16" s="423"/>
      <c r="G16" s="166"/>
    </row>
    <row r="17" spans="2:7" ht="14.25" thickBot="1" x14ac:dyDescent="0.3">
      <c r="B17" s="192" t="s">
        <v>241</v>
      </c>
      <c r="C17" s="425"/>
      <c r="D17" s="426"/>
      <c r="F17" s="166"/>
      <c r="G17" s="166"/>
    </row>
    <row r="18" spans="2:7" x14ac:dyDescent="0.25">
      <c r="B18" s="166"/>
      <c r="C18" s="433"/>
      <c r="D18" s="433"/>
      <c r="F18" s="166"/>
      <c r="G18" s="166"/>
    </row>
    <row r="19" spans="2:7" x14ac:dyDescent="0.25">
      <c r="C19" s="247"/>
      <c r="D19" s="247"/>
      <c r="G19" s="166"/>
    </row>
    <row r="20" spans="2:7" x14ac:dyDescent="0.25">
      <c r="C20" s="247"/>
      <c r="D20" s="247"/>
    </row>
    <row r="21" spans="2:7" hidden="1" x14ac:dyDescent="0.25">
      <c r="C21" s="247"/>
      <c r="D21" s="247"/>
      <c r="G21" s="434"/>
    </row>
    <row r="22" spans="2:7" hidden="1" x14ac:dyDescent="0.25">
      <c r="C22" s="247"/>
      <c r="D22" s="247"/>
      <c r="G22" s="434"/>
    </row>
    <row r="23" spans="2:7" hidden="1" x14ac:dyDescent="0.25">
      <c r="C23" s="247"/>
      <c r="D23" s="247"/>
      <c r="G23" s="434"/>
    </row>
    <row r="24" spans="2:7" hidden="1" x14ac:dyDescent="0.25">
      <c r="C24" s="247"/>
      <c r="D24" s="247"/>
      <c r="G24" s="434"/>
    </row>
    <row r="25" spans="2:7" hidden="1" x14ac:dyDescent="0.25">
      <c r="C25" s="247"/>
      <c r="D25" s="247"/>
      <c r="G25" s="434"/>
    </row>
    <row r="26" spans="2:7" hidden="1" x14ac:dyDescent="0.25">
      <c r="B26" s="435"/>
      <c r="C26" s="436"/>
      <c r="D26" s="436"/>
      <c r="G26" s="434"/>
    </row>
    <row r="27" spans="2:7" hidden="1" x14ac:dyDescent="0.25">
      <c r="C27" s="247"/>
      <c r="D27" s="247"/>
      <c r="G27" s="434"/>
    </row>
    <row r="28" spans="2:7" hidden="1" x14ac:dyDescent="0.25">
      <c r="C28" s="433"/>
      <c r="D28" s="433"/>
      <c r="G28" s="434"/>
    </row>
    <row r="29" spans="2:7" hidden="1" x14ac:dyDescent="0.25">
      <c r="C29" s="247"/>
      <c r="D29" s="247"/>
      <c r="G29" s="434"/>
    </row>
    <row r="30" spans="2:7" hidden="1" x14ac:dyDescent="0.25">
      <c r="C30" s="247"/>
      <c r="D30" s="247"/>
    </row>
    <row r="31" spans="2:7" hidden="1" x14ac:dyDescent="0.25">
      <c r="C31" s="247"/>
      <c r="D31" s="247"/>
    </row>
    <row r="32" spans="2:7" hidden="1" x14ac:dyDescent="0.25">
      <c r="C32" s="247"/>
      <c r="D32" s="247"/>
    </row>
    <row r="33" spans="3:4" hidden="1" x14ac:dyDescent="0.25">
      <c r="C33" s="247"/>
      <c r="D33" s="247"/>
    </row>
    <row r="34" spans="3:4" hidden="1" x14ac:dyDescent="0.25">
      <c r="C34" s="247"/>
      <c r="D34" s="247"/>
    </row>
    <row r="35" spans="3:4" hidden="1" x14ac:dyDescent="0.25">
      <c r="C35" s="247"/>
      <c r="D35" s="247"/>
    </row>
    <row r="36" spans="3:4" hidden="1" x14ac:dyDescent="0.25">
      <c r="C36" s="247"/>
      <c r="D36" s="247"/>
    </row>
    <row r="37" spans="3:4" hidden="1" x14ac:dyDescent="0.25">
      <c r="C37" s="247"/>
      <c r="D37" s="247"/>
    </row>
    <row r="38" spans="3:4" hidden="1" x14ac:dyDescent="0.25">
      <c r="D38" s="437"/>
    </row>
    <row r="39" spans="3:4" hidden="1" x14ac:dyDescent="0.25"/>
    <row r="40" spans="3:4" hidden="1" x14ac:dyDescent="0.25">
      <c r="C40" s="437"/>
    </row>
    <row r="41" spans="3:4" hidden="1" x14ac:dyDescent="0.25">
      <c r="C41" s="437"/>
    </row>
    <row r="42" spans="3:4" hidden="1" x14ac:dyDescent="0.25">
      <c r="C42" s="437"/>
    </row>
    <row r="43" spans="3:4" x14ac:dyDescent="0.25"/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7"/>
  <sheetViews>
    <sheetView showGridLines="0" zoomScale="80" zoomScaleNormal="80" zoomScalePageLayoutView="80" workbookViewId="0">
      <selection activeCell="D6" sqref="D6"/>
    </sheetView>
  </sheetViews>
  <sheetFormatPr defaultColWidth="0" defaultRowHeight="13.5" zeroHeight="1" outlineLevelRow="1" outlineLevelCol="1" x14ac:dyDescent="0.25"/>
  <cols>
    <col min="1" max="1" width="5.140625" style="158" customWidth="1"/>
    <col min="2" max="2" width="40.42578125" style="158" customWidth="1"/>
    <col min="3" max="3" width="38.7109375" style="158" bestFit="1" customWidth="1"/>
    <col min="4" max="4" width="14.7109375" style="163" customWidth="1"/>
    <col min="5" max="5" width="14.7109375" style="160" customWidth="1"/>
    <col min="6" max="6" width="11.85546875" style="158" bestFit="1" customWidth="1"/>
    <col min="7" max="7" width="13.42578125" style="158" hidden="1" customWidth="1" outlineLevel="1"/>
    <col min="8" max="8" width="0" style="158" hidden="1" customWidth="1" collapsed="1"/>
    <col min="9" max="16384" width="8.85546875" style="158" hidden="1"/>
  </cols>
  <sheetData>
    <row r="1" spans="1:7" x14ac:dyDescent="0.25">
      <c r="B1" s="178" t="s">
        <v>261</v>
      </c>
    </row>
    <row r="2" spans="1:7" ht="14.25" thickBot="1" x14ac:dyDescent="0.3">
      <c r="B2" s="161"/>
      <c r="C2" s="162"/>
    </row>
    <row r="3" spans="1:7" x14ac:dyDescent="0.25">
      <c r="B3" s="200"/>
      <c r="C3" s="201"/>
      <c r="D3" s="202" t="s">
        <v>16</v>
      </c>
      <c r="E3" s="203" t="s">
        <v>222</v>
      </c>
    </row>
    <row r="4" spans="1:7" outlineLevel="1" x14ac:dyDescent="0.25">
      <c r="B4" s="164" t="s">
        <v>29</v>
      </c>
      <c r="C4" s="210" t="s">
        <v>242</v>
      </c>
      <c r="D4" s="380"/>
      <c r="E4" s="381"/>
    </row>
    <row r="5" spans="1:7" outlineLevel="1" x14ac:dyDescent="0.25">
      <c r="B5" s="164"/>
      <c r="C5" s="214" t="s">
        <v>31</v>
      </c>
      <c r="D5" s="382"/>
      <c r="E5" s="383"/>
      <c r="G5" s="183"/>
    </row>
    <row r="6" spans="1:7" x14ac:dyDescent="0.25">
      <c r="A6" s="166"/>
      <c r="B6" s="384" t="s">
        <v>254</v>
      </c>
      <c r="C6" s="385" t="s">
        <v>236</v>
      </c>
      <c r="D6" s="386"/>
      <c r="E6" s="387"/>
    </row>
    <row r="7" spans="1:7" x14ac:dyDescent="0.25">
      <c r="A7" s="166"/>
      <c r="B7" s="214"/>
      <c r="C7" s="388" t="s">
        <v>173</v>
      </c>
      <c r="D7" s="389"/>
      <c r="E7" s="390"/>
    </row>
    <row r="8" spans="1:7" x14ac:dyDescent="0.25">
      <c r="A8" s="166"/>
      <c r="B8" s="214"/>
      <c r="C8" s="388" t="s">
        <v>171</v>
      </c>
      <c r="D8" s="389"/>
      <c r="E8" s="390"/>
    </row>
    <row r="9" spans="1:7" x14ac:dyDescent="0.25">
      <c r="A9" s="166"/>
      <c r="B9" s="214"/>
      <c r="C9" s="388" t="s">
        <v>174</v>
      </c>
      <c r="D9" s="389"/>
      <c r="E9" s="390"/>
    </row>
    <row r="10" spans="1:7" x14ac:dyDescent="0.25">
      <c r="A10" s="166"/>
      <c r="B10" s="214"/>
      <c r="C10" s="388" t="s">
        <v>172</v>
      </c>
      <c r="D10" s="389"/>
      <c r="E10" s="390"/>
    </row>
    <row r="11" spans="1:7" x14ac:dyDescent="0.25">
      <c r="A11" s="166"/>
      <c r="B11" s="214"/>
      <c r="C11" s="388" t="s">
        <v>168</v>
      </c>
      <c r="D11" s="389"/>
      <c r="E11" s="390"/>
    </row>
    <row r="12" spans="1:7" x14ac:dyDescent="0.25">
      <c r="A12" s="166"/>
      <c r="B12" s="216"/>
      <c r="C12" s="391" t="s">
        <v>175</v>
      </c>
      <c r="D12" s="382"/>
      <c r="E12" s="392">
        <f>1-D12</f>
        <v>1</v>
      </c>
    </row>
    <row r="13" spans="1:7" x14ac:dyDescent="0.25">
      <c r="A13" s="166"/>
      <c r="B13" s="384" t="s">
        <v>255</v>
      </c>
      <c r="C13" s="393" t="s">
        <v>164</v>
      </c>
      <c r="D13" s="394"/>
      <c r="E13" s="395"/>
    </row>
    <row r="14" spans="1:7" x14ac:dyDescent="0.25">
      <c r="A14" s="166"/>
      <c r="B14" s="214"/>
      <c r="C14" s="388" t="s">
        <v>228</v>
      </c>
      <c r="D14" s="396"/>
      <c r="E14" s="397"/>
    </row>
    <row r="15" spans="1:7" x14ac:dyDescent="0.25">
      <c r="A15" s="166"/>
      <c r="B15" s="214"/>
      <c r="C15" s="388" t="s">
        <v>114</v>
      </c>
      <c r="D15" s="398"/>
      <c r="E15" s="399"/>
    </row>
    <row r="16" spans="1:7" x14ac:dyDescent="0.25">
      <c r="A16" s="166"/>
      <c r="B16" s="351" t="s">
        <v>256</v>
      </c>
      <c r="C16" s="393" t="s">
        <v>48</v>
      </c>
      <c r="D16" s="394"/>
      <c r="E16" s="400"/>
    </row>
    <row r="17" spans="1:5" x14ac:dyDescent="0.25">
      <c r="A17" s="166"/>
      <c r="B17" s="214"/>
      <c r="C17" s="388" t="s">
        <v>252</v>
      </c>
      <c r="D17" s="389"/>
      <c r="E17" s="399"/>
    </row>
    <row r="18" spans="1:5" x14ac:dyDescent="0.25">
      <c r="A18" s="166"/>
      <c r="B18" s="214"/>
      <c r="C18" s="388" t="s">
        <v>253</v>
      </c>
      <c r="D18" s="389"/>
      <c r="E18" s="399"/>
    </row>
    <row r="19" spans="1:5" x14ac:dyDescent="0.25">
      <c r="A19" s="166"/>
      <c r="B19" s="216"/>
      <c r="C19" s="401" t="s">
        <v>145</v>
      </c>
      <c r="D19" s="402"/>
      <c r="E19" s="403"/>
    </row>
    <row r="20" spans="1:5" x14ac:dyDescent="0.25">
      <c r="A20" s="166"/>
      <c r="B20" s="351" t="s">
        <v>257</v>
      </c>
      <c r="C20" s="385" t="s">
        <v>146</v>
      </c>
      <c r="D20" s="404"/>
      <c r="E20" s="405"/>
    </row>
    <row r="21" spans="1:5" x14ac:dyDescent="0.25">
      <c r="A21" s="166"/>
      <c r="B21" s="214"/>
      <c r="C21" s="406" t="s">
        <v>165</v>
      </c>
      <c r="D21" s="407"/>
      <c r="E21" s="408"/>
    </row>
    <row r="22" spans="1:5" x14ac:dyDescent="0.25">
      <c r="A22" s="166"/>
      <c r="B22" s="214"/>
      <c r="C22" s="406" t="s">
        <v>232</v>
      </c>
      <c r="D22" s="407"/>
      <c r="E22" s="408"/>
    </row>
    <row r="23" spans="1:5" x14ac:dyDescent="0.25">
      <c r="A23" s="166"/>
      <c r="B23" s="214"/>
      <c r="C23" s="406" t="s">
        <v>166</v>
      </c>
      <c r="D23" s="407"/>
      <c r="E23" s="408"/>
    </row>
    <row r="24" spans="1:5" x14ac:dyDescent="0.25">
      <c r="A24" s="166"/>
      <c r="B24" s="351" t="s">
        <v>258</v>
      </c>
      <c r="C24" s="210" t="s">
        <v>11</v>
      </c>
      <c r="D24" s="380"/>
      <c r="E24" s="381"/>
    </row>
    <row r="25" spans="1:5" x14ac:dyDescent="0.25">
      <c r="A25" s="166"/>
      <c r="B25" s="214"/>
      <c r="C25" s="214" t="s">
        <v>150</v>
      </c>
      <c r="D25" s="409"/>
      <c r="E25" s="410"/>
    </row>
    <row r="26" spans="1:5" x14ac:dyDescent="0.25">
      <c r="A26" s="166"/>
      <c r="B26" s="355"/>
      <c r="C26" s="214" t="s">
        <v>44</v>
      </c>
      <c r="D26" s="409"/>
      <c r="E26" s="410"/>
    </row>
    <row r="27" spans="1:5" x14ac:dyDescent="0.25">
      <c r="A27" s="166"/>
      <c r="B27" s="214"/>
      <c r="C27" s="214" t="s">
        <v>227</v>
      </c>
      <c r="D27" s="409"/>
      <c r="E27" s="410"/>
    </row>
    <row r="28" spans="1:5" x14ac:dyDescent="0.25">
      <c r="A28" s="166"/>
      <c r="B28" s="216"/>
      <c r="C28" s="216" t="s">
        <v>149</v>
      </c>
      <c r="D28" s="411"/>
      <c r="E28" s="412"/>
    </row>
    <row r="29" spans="1:5" x14ac:dyDescent="0.25">
      <c r="A29" s="166"/>
      <c r="B29" s="351" t="s">
        <v>37</v>
      </c>
      <c r="C29" s="210" t="s">
        <v>158</v>
      </c>
      <c r="D29" s="380"/>
      <c r="E29" s="381"/>
    </row>
    <row r="30" spans="1:5" x14ac:dyDescent="0.25">
      <c r="A30" s="166"/>
      <c r="B30" s="216"/>
      <c r="C30" s="216" t="s">
        <v>159</v>
      </c>
      <c r="D30" s="402"/>
      <c r="E30" s="403"/>
    </row>
    <row r="31" spans="1:5" x14ac:dyDescent="0.25">
      <c r="A31" s="166"/>
      <c r="B31" s="351" t="s">
        <v>53</v>
      </c>
      <c r="C31" s="210" t="s">
        <v>54</v>
      </c>
      <c r="D31" s="380"/>
      <c r="E31" s="381"/>
    </row>
    <row r="32" spans="1:5" x14ac:dyDescent="0.25">
      <c r="A32" s="166"/>
      <c r="B32" s="214"/>
      <c r="C32" s="214" t="s">
        <v>55</v>
      </c>
      <c r="D32" s="413"/>
      <c r="E32" s="414"/>
    </row>
    <row r="33" spans="1:5" x14ac:dyDescent="0.25">
      <c r="A33" s="166"/>
      <c r="B33" s="216"/>
      <c r="C33" s="216" t="s">
        <v>229</v>
      </c>
      <c r="D33" s="402"/>
      <c r="E33" s="403"/>
    </row>
    <row r="34" spans="1:5" x14ac:dyDescent="0.25"/>
    <row r="35" spans="1:5" hidden="1" x14ac:dyDescent="0.25"/>
    <row r="36" spans="1:5" x14ac:dyDescent="0.25"/>
    <row r="37" spans="1:5" hidden="1" x14ac:dyDescent="0.25"/>
    <row r="38" spans="1:5" hidden="1" x14ac:dyDescent="0.25"/>
    <row r="39" spans="1:5" hidden="1" x14ac:dyDescent="0.25"/>
    <row r="40" spans="1:5" hidden="1" x14ac:dyDescent="0.25"/>
    <row r="41" spans="1:5" hidden="1" x14ac:dyDescent="0.25"/>
    <row r="42" spans="1:5" hidden="1" x14ac:dyDescent="0.25"/>
    <row r="43" spans="1:5" hidden="1" x14ac:dyDescent="0.25"/>
    <row r="44" spans="1:5" hidden="1" x14ac:dyDescent="0.25"/>
    <row r="45" spans="1:5" hidden="1" x14ac:dyDescent="0.25"/>
    <row r="46" spans="1:5" hidden="1" x14ac:dyDescent="0.25"/>
    <row r="47" spans="1:5" hidden="1" x14ac:dyDescent="0.25"/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3"/>
  <sheetViews>
    <sheetView showGridLines="0" zoomScale="80" zoomScaleNormal="80" zoomScalePageLayoutView="80" workbookViewId="0">
      <selection activeCell="A13" sqref="A13"/>
    </sheetView>
  </sheetViews>
  <sheetFormatPr defaultColWidth="8.85546875" defaultRowHeight="15" outlineLevelRow="1" x14ac:dyDescent="0.25"/>
  <cols>
    <col min="1" max="1" width="5.85546875" customWidth="1"/>
    <col min="2" max="2" width="48.7109375" bestFit="1" customWidth="1"/>
    <col min="3" max="3" width="15.7109375" bestFit="1" customWidth="1"/>
    <col min="4" max="4" width="18.140625" bestFit="1" customWidth="1"/>
    <col min="5" max="5" width="18.7109375" customWidth="1"/>
    <col min="6" max="6" width="15.140625" bestFit="1" customWidth="1"/>
    <col min="7" max="7" width="12.7109375" customWidth="1"/>
    <col min="8" max="9" width="14.42578125" customWidth="1"/>
    <col min="10" max="10" width="18.140625" bestFit="1" customWidth="1"/>
    <col min="11" max="11" width="14.42578125" customWidth="1"/>
    <col min="12" max="12" width="19.28515625" bestFit="1" customWidth="1"/>
    <col min="13" max="13" width="20.42578125" customWidth="1"/>
    <col min="14" max="14" width="27" customWidth="1"/>
    <col min="15" max="15" width="23.28515625" customWidth="1"/>
  </cols>
  <sheetData>
    <row r="1" spans="1:15" x14ac:dyDescent="0.25">
      <c r="B1" s="7" t="s">
        <v>176</v>
      </c>
    </row>
    <row r="2" spans="1:15" ht="15.75" thickBot="1" x14ac:dyDescent="0.3"/>
    <row r="3" spans="1:15" ht="15.75" thickBot="1" x14ac:dyDescent="0.3">
      <c r="B3" s="8" t="s">
        <v>177</v>
      </c>
      <c r="C3" s="9"/>
      <c r="D3" s="9"/>
      <c r="E3" s="10"/>
      <c r="G3" s="28" t="s">
        <v>178</v>
      </c>
      <c r="H3" s="29"/>
      <c r="I3" s="30"/>
    </row>
    <row r="4" spans="1:15" x14ac:dyDescent="0.25">
      <c r="B4" s="31" t="s">
        <v>179</v>
      </c>
      <c r="C4" s="32"/>
      <c r="D4" s="32"/>
      <c r="E4" s="33"/>
      <c r="G4" s="13" t="s">
        <v>180</v>
      </c>
      <c r="H4" s="2"/>
      <c r="I4" s="34">
        <v>9</v>
      </c>
      <c r="J4" s="35" t="s">
        <v>181</v>
      </c>
      <c r="K4" s="36">
        <v>0.56999999999999995</v>
      </c>
    </row>
    <row r="5" spans="1:15" x14ac:dyDescent="0.25">
      <c r="A5" s="5"/>
      <c r="B5" s="13"/>
      <c r="C5" s="3" t="s">
        <v>182</v>
      </c>
      <c r="D5" s="3" t="s">
        <v>0</v>
      </c>
      <c r="E5" s="14" t="s">
        <v>183</v>
      </c>
      <c r="G5" s="11" t="s">
        <v>184</v>
      </c>
      <c r="H5" s="2"/>
      <c r="I5" s="37">
        <v>3</v>
      </c>
      <c r="J5" s="38" t="s">
        <v>185</v>
      </c>
      <c r="K5" s="39">
        <v>0.24</v>
      </c>
    </row>
    <row r="6" spans="1:15" ht="15.75" thickBot="1" x14ac:dyDescent="0.3">
      <c r="A6" s="5"/>
      <c r="B6" s="11"/>
      <c r="C6" s="2"/>
      <c r="D6" s="2"/>
      <c r="E6" s="12"/>
      <c r="G6" s="27" t="s">
        <v>186</v>
      </c>
      <c r="H6" s="16"/>
      <c r="I6" s="40">
        <v>6</v>
      </c>
      <c r="J6" s="41" t="s">
        <v>187</v>
      </c>
      <c r="K6" s="42">
        <v>0.19</v>
      </c>
      <c r="L6" s="43"/>
      <c r="M6" s="43"/>
    </row>
    <row r="7" spans="1:15" ht="15.75" thickBot="1" x14ac:dyDescent="0.3">
      <c r="A7" s="5"/>
      <c r="B7" s="13" t="s">
        <v>188</v>
      </c>
      <c r="C7" s="44">
        <f>IF((M24/($E$21*$I$4))&lt;N24,M24/($E$21*$I$4),L24/$E$21)</f>
        <v>5.4794520547945202</v>
      </c>
      <c r="D7" s="44">
        <f>IF((M25/($E$21*$I$4))&lt;N25,M25/($E$21*$I$4),L25/$E$21)</f>
        <v>23.287671232876711</v>
      </c>
      <c r="E7" s="45">
        <f>IF((M26/($E$21*$I$4))&lt;N26,M26/($E$21*$I$4),L26/$E$21)</f>
        <v>20.547945205479451</v>
      </c>
      <c r="J7" s="4"/>
      <c r="K7" s="46"/>
      <c r="L7" s="4"/>
      <c r="M7" s="4"/>
    </row>
    <row r="8" spans="1:15" ht="15.75" thickBot="1" x14ac:dyDescent="0.3">
      <c r="A8" s="5"/>
      <c r="B8" s="13" t="s">
        <v>189</v>
      </c>
      <c r="C8" s="44">
        <f>IF((C7*$E$21)&lt;$L$24,(C7*$E$21),(N24*$E$21))</f>
        <v>400</v>
      </c>
      <c r="D8" s="44">
        <f>IF((D7*$E$21)&lt;$L$25,(D7*$E$21),(N25*E21))</f>
        <v>1700</v>
      </c>
      <c r="E8" s="45">
        <f>IF((E7*$E$21)&lt;$L$26,(E7*$E$21),"Load too big")</f>
        <v>1500</v>
      </c>
      <c r="G8" s="47" t="s">
        <v>190</v>
      </c>
      <c r="H8" s="48"/>
      <c r="I8" s="48"/>
      <c r="J8" s="49"/>
      <c r="K8" s="4"/>
      <c r="L8" s="50" t="s">
        <v>191</v>
      </c>
      <c r="M8" s="51"/>
      <c r="N8" s="51"/>
      <c r="O8" s="52"/>
    </row>
    <row r="9" spans="1:15" ht="15.75" thickBot="1" x14ac:dyDescent="0.3">
      <c r="A9" s="5"/>
      <c r="B9" s="13" t="s">
        <v>192</v>
      </c>
      <c r="C9" s="53">
        <f>K24/($E$21*C7)</f>
        <v>4.625</v>
      </c>
      <c r="D9" s="54">
        <f>K25/($E$21*D7)</f>
        <v>3.0117647058823529</v>
      </c>
      <c r="E9" s="55">
        <f>K26/($E$21*E7)</f>
        <v>3.4133333333333336</v>
      </c>
      <c r="G9" s="11"/>
      <c r="H9" s="56" t="s">
        <v>182</v>
      </c>
      <c r="I9" s="57" t="s">
        <v>0</v>
      </c>
      <c r="J9" s="58" t="s">
        <v>183</v>
      </c>
      <c r="K9" s="4"/>
      <c r="L9" s="59"/>
      <c r="M9" s="60" t="s">
        <v>193</v>
      </c>
      <c r="N9" s="60" t="s">
        <v>194</v>
      </c>
      <c r="O9" s="61" t="s">
        <v>195</v>
      </c>
    </row>
    <row r="10" spans="1:15" ht="15" hidden="1" customHeight="1" thickBot="1" x14ac:dyDescent="0.3">
      <c r="A10" s="5"/>
      <c r="B10" s="11" t="s">
        <v>196</v>
      </c>
      <c r="C10" s="62">
        <f>($E$21*SUM($I$4:$I$5))/1000</f>
        <v>0.876</v>
      </c>
      <c r="D10" s="62">
        <f>($E$21*SUM($I$4:$I$5))/1000</f>
        <v>0.876</v>
      </c>
      <c r="E10" s="63">
        <f>($E$21*SUM($I$4:$I$5))/1000</f>
        <v>0.876</v>
      </c>
      <c r="G10" s="11"/>
      <c r="H10" s="64"/>
      <c r="I10" s="65"/>
      <c r="J10" s="66"/>
      <c r="K10" s="67"/>
      <c r="L10" s="68"/>
      <c r="M10" s="69"/>
      <c r="N10" s="69"/>
      <c r="O10" s="70"/>
    </row>
    <row r="11" spans="1:15" ht="15" hidden="1" customHeight="1" thickBot="1" x14ac:dyDescent="0.3">
      <c r="A11" s="5"/>
      <c r="B11" s="11" t="s">
        <v>197</v>
      </c>
      <c r="C11" s="71">
        <f>C10*C7</f>
        <v>4.8</v>
      </c>
      <c r="D11" s="71">
        <f>D10*D7</f>
        <v>20.399999999999999</v>
      </c>
      <c r="E11" s="72">
        <f>E10*E7</f>
        <v>18</v>
      </c>
      <c r="G11" s="13"/>
      <c r="H11" s="73"/>
      <c r="I11" s="69"/>
      <c r="J11" s="74"/>
      <c r="K11" s="67"/>
      <c r="L11" s="68"/>
      <c r="M11" s="69"/>
      <c r="N11" s="69"/>
      <c r="O11" s="70"/>
    </row>
    <row r="12" spans="1:15" ht="15" hidden="1" customHeight="1" thickBot="1" x14ac:dyDescent="0.3">
      <c r="A12" s="5"/>
      <c r="B12" s="11" t="s">
        <v>198</v>
      </c>
      <c r="C12" s="71">
        <f>(M24+K24)/1000</f>
        <v>7.85</v>
      </c>
      <c r="D12" s="71">
        <f>(M25+K25)/1000</f>
        <v>23.12</v>
      </c>
      <c r="E12" s="72">
        <f>(M26+K26)/1000</f>
        <v>18.62</v>
      </c>
      <c r="G12" s="13"/>
      <c r="H12" s="73"/>
      <c r="I12" s="69"/>
      <c r="J12" s="74"/>
      <c r="K12" s="67"/>
      <c r="L12" s="68"/>
      <c r="M12" s="69"/>
      <c r="N12" s="69"/>
      <c r="O12" s="70"/>
    </row>
    <row r="13" spans="1:15" ht="15.75" thickBot="1" x14ac:dyDescent="0.3">
      <c r="A13" s="5"/>
      <c r="B13" s="15"/>
      <c r="C13" s="75"/>
      <c r="D13" s="75"/>
      <c r="E13" s="76"/>
      <c r="G13" s="77" t="s">
        <v>199</v>
      </c>
      <c r="H13" s="78">
        <f>(I36*I35)/C7</f>
        <v>1129.1913749999999</v>
      </c>
      <c r="I13" s="79">
        <f>(I35*I33)/D7</f>
        <v>265.69208823529408</v>
      </c>
      <c r="J13" s="80">
        <f>(I36*I35)/E7</f>
        <v>301.11770000000001</v>
      </c>
      <c r="K13" s="81"/>
      <c r="L13" s="82" t="s">
        <v>199</v>
      </c>
      <c r="M13" s="83">
        <f>K4</f>
        <v>0.56999999999999995</v>
      </c>
      <c r="N13" s="84">
        <f>$D$17</f>
        <v>3</v>
      </c>
      <c r="O13" s="85">
        <f>$D$18</f>
        <v>1</v>
      </c>
    </row>
    <row r="14" spans="1:15" ht="15.75" thickBot="1" x14ac:dyDescent="0.3">
      <c r="A14" s="5"/>
      <c r="B14" s="13"/>
      <c r="C14" s="86"/>
      <c r="D14" s="86"/>
      <c r="E14" s="87"/>
      <c r="G14" s="88" t="s">
        <v>200</v>
      </c>
      <c r="H14" s="78">
        <f>(J35*J33)/C28</f>
        <v>1081.1579999999999</v>
      </c>
      <c r="I14" s="79">
        <f>(J36*J35)/D28</f>
        <v>216.23159999999999</v>
      </c>
      <c r="J14" s="80">
        <f>(J36*J35)/E28</f>
        <v>288.30879999999996</v>
      </c>
      <c r="K14" s="81"/>
      <c r="L14" s="82" t="s">
        <v>200</v>
      </c>
      <c r="M14" s="83">
        <f t="shared" ref="M14:M15" si="0">K5</f>
        <v>0.24</v>
      </c>
      <c r="N14" s="84">
        <f>$D$35</f>
        <v>6</v>
      </c>
      <c r="O14" s="85">
        <f>$D$36</f>
        <v>3</v>
      </c>
    </row>
    <row r="15" spans="1:15" ht="15.75" thickBot="1" x14ac:dyDescent="0.3">
      <c r="A15" s="5"/>
      <c r="B15" s="89" t="s">
        <v>201</v>
      </c>
      <c r="C15" s="90"/>
      <c r="D15" s="91"/>
      <c r="E15" s="92"/>
      <c r="G15" s="88" t="s">
        <v>202</v>
      </c>
      <c r="H15" s="93">
        <f>(K35*K33)/C48</f>
        <v>1263.2506249999999</v>
      </c>
      <c r="I15" s="79">
        <f>(K35*K33)/D48</f>
        <v>252.65012499999997</v>
      </c>
      <c r="J15" s="80">
        <f>(K36*K35)/E48</f>
        <v>336.86683333333332</v>
      </c>
      <c r="K15" s="81"/>
      <c r="L15" s="82" t="s">
        <v>202</v>
      </c>
      <c r="M15" s="83">
        <f t="shared" si="0"/>
        <v>0.19</v>
      </c>
      <c r="N15" s="84">
        <f>$D$55</f>
        <v>10</v>
      </c>
      <c r="O15" s="85">
        <f>$D$56</f>
        <v>3</v>
      </c>
    </row>
    <row r="16" spans="1:15" ht="15.75" thickBot="1" x14ac:dyDescent="0.3">
      <c r="A16" s="5"/>
      <c r="B16" s="94" t="s">
        <v>203</v>
      </c>
      <c r="C16" s="95" t="s">
        <v>204</v>
      </c>
      <c r="D16" s="96" t="s">
        <v>205</v>
      </c>
      <c r="E16" s="97" t="s">
        <v>206</v>
      </c>
      <c r="G16" s="98" t="s">
        <v>2</v>
      </c>
      <c r="H16" s="99">
        <f>SUM(H13:H15)</f>
        <v>3473.5999999999995</v>
      </c>
      <c r="I16" s="100">
        <f>SUM(I13:I15)</f>
        <v>734.5738132352941</v>
      </c>
      <c r="J16" s="101">
        <f>SUM(J13:J15)</f>
        <v>926.29333333333329</v>
      </c>
      <c r="K16" s="81"/>
      <c r="L16" s="102" t="s">
        <v>207</v>
      </c>
      <c r="M16" s="100"/>
      <c r="N16" s="100">
        <f>SUMPRODUCT($M13:$M15, N13:N15)</f>
        <v>5.05</v>
      </c>
      <c r="O16" s="101">
        <f>SUMPRODUCT($M13:$M15, O13:O15)</f>
        <v>1.86</v>
      </c>
    </row>
    <row r="17" spans="1:14" x14ac:dyDescent="0.25">
      <c r="A17" s="5"/>
      <c r="B17" s="103" t="s">
        <v>208</v>
      </c>
      <c r="C17" s="104">
        <v>11</v>
      </c>
      <c r="D17" s="18">
        <v>3</v>
      </c>
      <c r="E17" s="105">
        <f>C17*D17</f>
        <v>33</v>
      </c>
      <c r="G17" s="4"/>
      <c r="H17" s="4"/>
      <c r="I17" s="67"/>
      <c r="J17" s="67"/>
      <c r="K17" s="67"/>
      <c r="L17" s="67"/>
      <c r="M17" s="4"/>
    </row>
    <row r="18" spans="1:14" x14ac:dyDescent="0.25">
      <c r="A18" s="5"/>
      <c r="B18" s="11" t="s">
        <v>209</v>
      </c>
      <c r="C18" s="104">
        <v>30</v>
      </c>
      <c r="D18" s="18">
        <v>1</v>
      </c>
      <c r="E18" s="105">
        <f>C18*D18</f>
        <v>30</v>
      </c>
      <c r="G18" s="2"/>
      <c r="H18" s="2"/>
      <c r="I18" s="67"/>
      <c r="J18" s="67"/>
      <c r="K18" s="67"/>
      <c r="L18" s="67"/>
      <c r="M18" s="4"/>
    </row>
    <row r="19" spans="1:14" x14ac:dyDescent="0.25">
      <c r="A19" s="5"/>
      <c r="B19" s="11" t="s">
        <v>210</v>
      </c>
      <c r="C19" s="25">
        <v>30</v>
      </c>
      <c r="D19" s="18">
        <v>0</v>
      </c>
      <c r="E19" s="105">
        <f>C19*D19</f>
        <v>0</v>
      </c>
      <c r="G19" s="2"/>
      <c r="H19" s="2"/>
      <c r="I19" s="67"/>
      <c r="J19" s="67"/>
      <c r="K19" s="67"/>
      <c r="L19" s="67"/>
      <c r="M19" s="4"/>
    </row>
    <row r="20" spans="1:14" ht="15.75" thickBot="1" x14ac:dyDescent="0.3">
      <c r="A20" s="5"/>
      <c r="B20" s="15" t="s">
        <v>211</v>
      </c>
      <c r="C20" s="106">
        <v>5</v>
      </c>
      <c r="D20" s="107">
        <v>2</v>
      </c>
      <c r="E20" s="108">
        <f>C20*D20</f>
        <v>10</v>
      </c>
      <c r="G20" s="109"/>
      <c r="H20" s="109"/>
      <c r="I20" s="6"/>
      <c r="J20" s="6"/>
      <c r="K20" s="6"/>
      <c r="L20" s="6"/>
      <c r="M20" s="110"/>
    </row>
    <row r="21" spans="1:14" ht="15.75" thickBot="1" x14ac:dyDescent="0.3">
      <c r="B21" s="15"/>
      <c r="C21" s="16"/>
      <c r="D21" s="16"/>
      <c r="E21" s="111">
        <f>SUM(E17:E20)</f>
        <v>73</v>
      </c>
      <c r="G21" s="4"/>
      <c r="H21" s="2"/>
      <c r="I21" s="110"/>
      <c r="J21" s="110"/>
      <c r="K21" s="110"/>
      <c r="L21" s="110"/>
      <c r="M21" s="4"/>
    </row>
    <row r="22" spans="1:14" ht="15.75" thickBot="1" x14ac:dyDescent="0.3">
      <c r="G22" s="112" t="s">
        <v>212</v>
      </c>
      <c r="H22" s="113"/>
      <c r="I22" s="113"/>
      <c r="J22" s="113"/>
      <c r="K22" s="113"/>
      <c r="L22" s="113"/>
      <c r="M22" s="113"/>
      <c r="N22" s="114"/>
    </row>
    <row r="23" spans="1:14" ht="30.75" thickBot="1" x14ac:dyDescent="0.3">
      <c r="G23" s="115"/>
      <c r="H23" s="116" t="s">
        <v>213</v>
      </c>
      <c r="I23" s="116" t="s">
        <v>214</v>
      </c>
      <c r="J23" s="116" t="s">
        <v>215</v>
      </c>
      <c r="K23" s="116" t="s">
        <v>216</v>
      </c>
      <c r="L23" s="117" t="s">
        <v>144</v>
      </c>
      <c r="M23" s="116" t="s">
        <v>217</v>
      </c>
      <c r="N23" s="118" t="s">
        <v>218</v>
      </c>
    </row>
    <row r="24" spans="1:14" ht="15.75" thickBot="1" x14ac:dyDescent="0.3">
      <c r="B24" s="8" t="s">
        <v>219</v>
      </c>
      <c r="C24" s="9"/>
      <c r="D24" s="9"/>
      <c r="E24" s="10"/>
      <c r="G24" s="119" t="s">
        <v>182</v>
      </c>
      <c r="H24" s="120">
        <v>4</v>
      </c>
      <c r="I24" s="120">
        <v>250</v>
      </c>
      <c r="J24" s="121">
        <f>I24*H24</f>
        <v>1000</v>
      </c>
      <c r="K24" s="120">
        <v>1850</v>
      </c>
      <c r="L24" s="122">
        <v>400</v>
      </c>
      <c r="M24" s="123">
        <f>J24*$I$6</f>
        <v>6000</v>
      </c>
      <c r="N24" s="124">
        <f>(L24*$I$4)/($E$21*$I$4)</f>
        <v>5.4794520547945202</v>
      </c>
    </row>
    <row r="25" spans="1:14" x14ac:dyDescent="0.25">
      <c r="B25" s="31" t="s">
        <v>179</v>
      </c>
      <c r="C25" s="32"/>
      <c r="D25" s="32"/>
      <c r="E25" s="33"/>
      <c r="G25" s="119" t="s">
        <v>0</v>
      </c>
      <c r="H25" s="120">
        <v>12</v>
      </c>
      <c r="I25" s="120">
        <v>250</v>
      </c>
      <c r="J25" s="121">
        <f>I25*H25</f>
        <v>3000</v>
      </c>
      <c r="K25" s="120">
        <v>5120</v>
      </c>
      <c r="L25" s="122">
        <v>1700</v>
      </c>
      <c r="M25" s="123">
        <f>J25*$I$6</f>
        <v>18000</v>
      </c>
      <c r="N25" s="124">
        <f>(L25*$I$4)/($E$21*$I$4)</f>
        <v>23.287671232876711</v>
      </c>
    </row>
    <row r="26" spans="1:14" ht="15.75" thickBot="1" x14ac:dyDescent="0.3">
      <c r="B26" s="13"/>
      <c r="C26" s="3" t="s">
        <v>182</v>
      </c>
      <c r="D26" s="3" t="s">
        <v>0</v>
      </c>
      <c r="E26" s="14" t="s">
        <v>183</v>
      </c>
      <c r="G26" s="125" t="s">
        <v>183</v>
      </c>
      <c r="H26" s="126">
        <v>9</v>
      </c>
      <c r="I26" s="126">
        <v>250</v>
      </c>
      <c r="J26" s="127">
        <f>I26*H26</f>
        <v>2250</v>
      </c>
      <c r="K26" s="126">
        <v>5120</v>
      </c>
      <c r="L26" s="128">
        <v>1700</v>
      </c>
      <c r="M26" s="129">
        <f>J26*$I$6</f>
        <v>13500</v>
      </c>
      <c r="N26" s="130">
        <f>(L26*$I$4)/($E$21*$I$4)</f>
        <v>23.287671232876711</v>
      </c>
    </row>
    <row r="27" spans="1:14" x14ac:dyDescent="0.25">
      <c r="B27" s="11"/>
      <c r="C27" s="2"/>
      <c r="D27" s="2"/>
      <c r="E27" s="12"/>
    </row>
    <row r="28" spans="1:14" x14ac:dyDescent="0.25">
      <c r="B28" s="13" t="s">
        <v>188</v>
      </c>
      <c r="C28" s="44">
        <f>L24/E39</f>
        <v>2.4096385542168677</v>
      </c>
      <c r="D28" s="44">
        <f>IF((M25/($E$39*$I$4))&lt;L25,M25/($E$39*$I$4),L25/$E$39)</f>
        <v>12.048192771084338</v>
      </c>
      <c r="E28" s="45">
        <f>IF((M26/($E$39*$I$4))&lt;L26,M26/($E$39*$I$4),L26/$E$39)</f>
        <v>9.0361445783132535</v>
      </c>
    </row>
    <row r="29" spans="1:14" ht="15.75" thickBot="1" x14ac:dyDescent="0.3">
      <c r="B29" s="13" t="s">
        <v>189</v>
      </c>
      <c r="C29" s="44">
        <f>IF((C28*$E$39)&lt;$L$24,(C28*$E$39),(C28*E39))</f>
        <v>400.00000000000006</v>
      </c>
      <c r="D29" s="44">
        <f>IF((D28*$E$39)&lt;$L$25,(D28*$E$39),(D28*$E$39))</f>
        <v>2000</v>
      </c>
      <c r="E29" s="45">
        <f>IF((E28*$E$39)&lt;$L$26,(E28*$E$39),"Load too big")</f>
        <v>1500</v>
      </c>
    </row>
    <row r="30" spans="1:14" ht="15.75" customHeight="1" x14ac:dyDescent="0.25">
      <c r="B30" s="13" t="s">
        <v>192</v>
      </c>
      <c r="C30" s="53">
        <f>K24/($E$39*C28)</f>
        <v>4.6249999999999991</v>
      </c>
      <c r="D30" s="53">
        <f>K25/($E$39*D28)</f>
        <v>2.56</v>
      </c>
      <c r="E30" s="131">
        <f>K26/($E$39*E28)</f>
        <v>3.4133333333333336</v>
      </c>
      <c r="G30" s="132"/>
      <c r="H30" s="24"/>
      <c r="I30" s="24"/>
      <c r="J30" s="24"/>
      <c r="K30" s="23"/>
      <c r="M30" s="133"/>
    </row>
    <row r="31" spans="1:14" ht="15.75" thickBot="1" x14ac:dyDescent="0.3">
      <c r="B31" s="15"/>
      <c r="C31" s="75"/>
      <c r="D31" s="75"/>
      <c r="E31" s="76"/>
      <c r="G31" s="20" t="s">
        <v>7</v>
      </c>
      <c r="H31" s="1"/>
      <c r="I31" s="134">
        <v>13958</v>
      </c>
      <c r="J31" s="134">
        <v>13958</v>
      </c>
      <c r="K31" s="135">
        <v>13958</v>
      </c>
      <c r="M31" s="136"/>
    </row>
    <row r="32" spans="1:14" ht="15.75" thickBot="1" x14ac:dyDescent="0.3">
      <c r="B32" s="13"/>
      <c r="C32" s="86"/>
      <c r="D32" s="86"/>
      <c r="E32" s="87"/>
      <c r="G32" s="137" t="s">
        <v>13</v>
      </c>
      <c r="H32" s="1"/>
      <c r="I32" s="134">
        <v>3103</v>
      </c>
      <c r="J32" s="134">
        <v>3103</v>
      </c>
      <c r="K32" s="135">
        <v>3103</v>
      </c>
      <c r="M32" s="136"/>
    </row>
    <row r="33" spans="2:12" ht="15.75" thickBot="1" x14ac:dyDescent="0.3">
      <c r="B33" s="89" t="s">
        <v>201</v>
      </c>
      <c r="C33" s="90"/>
      <c r="D33" s="92"/>
      <c r="E33" s="92"/>
      <c r="G33" s="137" t="s">
        <v>220</v>
      </c>
      <c r="H33" s="1"/>
      <c r="I33" s="134">
        <v>10855</v>
      </c>
      <c r="J33" s="134">
        <v>10855</v>
      </c>
      <c r="K33" s="135">
        <v>10855</v>
      </c>
    </row>
    <row r="34" spans="2:12" x14ac:dyDescent="0.25">
      <c r="B34" s="94" t="s">
        <v>203</v>
      </c>
      <c r="C34" s="95" t="s">
        <v>204</v>
      </c>
      <c r="D34" s="96" t="s">
        <v>205</v>
      </c>
      <c r="E34" s="97" t="s">
        <v>206</v>
      </c>
      <c r="G34" s="138"/>
      <c r="H34" s="139"/>
      <c r="I34" s="140" t="s">
        <v>199</v>
      </c>
      <c r="J34" s="140" t="s">
        <v>200</v>
      </c>
      <c r="K34" s="141" t="s">
        <v>202</v>
      </c>
    </row>
    <row r="35" spans="2:12" x14ac:dyDescent="0.25">
      <c r="B35" s="103" t="s">
        <v>208</v>
      </c>
      <c r="C35" s="104">
        <v>11</v>
      </c>
      <c r="D35" s="18">
        <v>6</v>
      </c>
      <c r="E35" s="105">
        <f>C35*D35</f>
        <v>66</v>
      </c>
      <c r="G35" s="142" t="s">
        <v>14</v>
      </c>
      <c r="H35" s="139"/>
      <c r="I35" s="143">
        <f>K4</f>
        <v>0.56999999999999995</v>
      </c>
      <c r="J35" s="143">
        <f>K5</f>
        <v>0.24</v>
      </c>
      <c r="K35" s="144">
        <f>K6</f>
        <v>0.19</v>
      </c>
    </row>
    <row r="36" spans="2:12" x14ac:dyDescent="0.25">
      <c r="B36" s="11" t="s">
        <v>209</v>
      </c>
      <c r="C36" s="104">
        <v>30</v>
      </c>
      <c r="D36" s="18">
        <v>3</v>
      </c>
      <c r="E36" s="105">
        <f>C36*D36</f>
        <v>90</v>
      </c>
      <c r="G36" s="20" t="s">
        <v>17</v>
      </c>
      <c r="H36" s="1"/>
      <c r="I36" s="21">
        <f>I33</f>
        <v>10855</v>
      </c>
      <c r="J36" s="21">
        <f t="shared" ref="J36:K36" si="1">J33</f>
        <v>10855</v>
      </c>
      <c r="K36" s="22">
        <f t="shared" si="1"/>
        <v>10855</v>
      </c>
    </row>
    <row r="37" spans="2:12" ht="15.75" thickBot="1" x14ac:dyDescent="0.3">
      <c r="B37" s="11" t="s">
        <v>210</v>
      </c>
      <c r="C37" s="25">
        <v>30</v>
      </c>
      <c r="D37" s="18">
        <v>0</v>
      </c>
      <c r="E37" s="105">
        <f>C37*D37</f>
        <v>0</v>
      </c>
      <c r="G37" s="15"/>
      <c r="H37" s="16"/>
      <c r="I37" s="16"/>
      <c r="J37" s="16"/>
      <c r="K37" s="17"/>
    </row>
    <row r="38" spans="2:12" ht="15.75" thickBot="1" x14ac:dyDescent="0.3">
      <c r="B38" s="15" t="s">
        <v>211</v>
      </c>
      <c r="C38" s="106">
        <v>5</v>
      </c>
      <c r="D38" s="107">
        <v>2</v>
      </c>
      <c r="E38" s="108">
        <f>C38*D38</f>
        <v>10</v>
      </c>
    </row>
    <row r="39" spans="2:12" ht="15.75" thickBot="1" x14ac:dyDescent="0.3">
      <c r="B39" s="15"/>
      <c r="C39" s="16"/>
      <c r="D39" s="16"/>
      <c r="E39" s="111">
        <f>SUM(E35:E38)</f>
        <v>166</v>
      </c>
      <c r="L39" s="145"/>
    </row>
    <row r="40" spans="2:12" ht="15" customHeight="1" x14ac:dyDescent="0.25"/>
    <row r="41" spans="2:12" x14ac:dyDescent="0.25">
      <c r="L41" s="26"/>
    </row>
    <row r="43" spans="2:12" ht="15.75" thickBot="1" x14ac:dyDescent="0.3"/>
    <row r="44" spans="2:12" ht="15.75" thickBot="1" x14ac:dyDescent="0.3">
      <c r="B44" s="8" t="s">
        <v>221</v>
      </c>
      <c r="C44" s="9"/>
      <c r="D44" s="9"/>
      <c r="E44" s="10"/>
    </row>
    <row r="45" spans="2:12" x14ac:dyDescent="0.25">
      <c r="B45" s="31" t="s">
        <v>179</v>
      </c>
      <c r="C45" s="32"/>
      <c r="D45" s="32"/>
      <c r="E45" s="33"/>
    </row>
    <row r="46" spans="2:12" x14ac:dyDescent="0.25">
      <c r="B46" s="13"/>
      <c r="C46" s="3" t="s">
        <v>182</v>
      </c>
      <c r="D46" s="3" t="s">
        <v>0</v>
      </c>
      <c r="E46" s="14" t="s">
        <v>183</v>
      </c>
    </row>
    <row r="47" spans="2:12" x14ac:dyDescent="0.25">
      <c r="B47" s="11"/>
      <c r="C47" s="2"/>
      <c r="D47" s="2"/>
      <c r="E47" s="12"/>
    </row>
    <row r="48" spans="2:12" x14ac:dyDescent="0.25">
      <c r="B48" s="13" t="s">
        <v>188</v>
      </c>
      <c r="C48" s="44">
        <f>L24/E59</f>
        <v>1.6326530612244898</v>
      </c>
      <c r="D48" s="44">
        <f>IF(($M$25/($E$59*$I$4))&lt;L25,M25/($E$59*$I$4),L25/$E$59)</f>
        <v>8.1632653061224492</v>
      </c>
      <c r="E48" s="45">
        <f>IF((M26/($E$59*$I$4))&lt;L26,M26/($E$59*$I$4),L26/$E$59)</f>
        <v>6.1224489795918364</v>
      </c>
    </row>
    <row r="49" spans="2:5" x14ac:dyDescent="0.25">
      <c r="B49" s="13" t="s">
        <v>189</v>
      </c>
      <c r="C49" s="44">
        <f>IF((C48*$E$59)&lt;$L$24, (C48*$E$59),(C48*$E$59))</f>
        <v>400</v>
      </c>
      <c r="D49" s="44">
        <f>IF((D48*$E$59)&lt;$L$25,(D48*$E$59),(D48*$E$59))</f>
        <v>2000</v>
      </c>
      <c r="E49" s="45">
        <f>IF((E48*$E$59)&lt;$L$26,(E48*$E$59),"Load too big")</f>
        <v>1500</v>
      </c>
    </row>
    <row r="50" spans="2:5" x14ac:dyDescent="0.25">
      <c r="B50" s="13" t="s">
        <v>192</v>
      </c>
      <c r="C50" s="53">
        <f>K24/($E$59*C48)</f>
        <v>4.625</v>
      </c>
      <c r="D50" s="54">
        <f>K25/($E$59*D48)</f>
        <v>2.56</v>
      </c>
      <c r="E50" s="55">
        <f>K26/($E$59*E48)</f>
        <v>3.4133333333333336</v>
      </c>
    </row>
    <row r="51" spans="2:5" ht="15.75" thickBot="1" x14ac:dyDescent="0.3">
      <c r="B51" s="15"/>
      <c r="C51" s="75"/>
      <c r="D51" s="75"/>
      <c r="E51" s="76"/>
    </row>
    <row r="52" spans="2:5" ht="15.75" thickBot="1" x14ac:dyDescent="0.3">
      <c r="B52" s="13"/>
      <c r="C52" s="86"/>
      <c r="D52" s="86"/>
      <c r="E52" s="87"/>
    </row>
    <row r="53" spans="2:5" ht="15.75" thickBot="1" x14ac:dyDescent="0.3">
      <c r="B53" s="89" t="s">
        <v>201</v>
      </c>
      <c r="C53" s="90"/>
      <c r="D53" s="92"/>
      <c r="E53" s="92"/>
    </row>
    <row r="54" spans="2:5" x14ac:dyDescent="0.25">
      <c r="B54" s="94" t="s">
        <v>203</v>
      </c>
      <c r="C54" s="95" t="s">
        <v>204</v>
      </c>
      <c r="D54" s="146" t="s">
        <v>205</v>
      </c>
      <c r="E54" s="97" t="s">
        <v>206</v>
      </c>
    </row>
    <row r="55" spans="2:5" x14ac:dyDescent="0.25">
      <c r="B55" s="103" t="s">
        <v>208</v>
      </c>
      <c r="C55" s="104">
        <v>11</v>
      </c>
      <c r="D55" s="19">
        <v>10</v>
      </c>
      <c r="E55" s="105">
        <f>C55*D55</f>
        <v>110</v>
      </c>
    </row>
    <row r="56" spans="2:5" x14ac:dyDescent="0.25">
      <c r="B56" s="11" t="s">
        <v>209</v>
      </c>
      <c r="C56" s="104">
        <v>30</v>
      </c>
      <c r="D56" s="19">
        <v>3</v>
      </c>
      <c r="E56" s="105">
        <f>C56*D56</f>
        <v>90</v>
      </c>
    </row>
    <row r="57" spans="2:5" x14ac:dyDescent="0.25">
      <c r="B57" s="11" t="s">
        <v>210</v>
      </c>
      <c r="C57" s="25">
        <v>30</v>
      </c>
      <c r="D57" s="19">
        <v>1</v>
      </c>
      <c r="E57" s="105">
        <f>C57*D57</f>
        <v>30</v>
      </c>
    </row>
    <row r="58" spans="2:5" ht="15.75" thickBot="1" x14ac:dyDescent="0.3">
      <c r="B58" s="15" t="s">
        <v>211</v>
      </c>
      <c r="C58" s="106">
        <v>5</v>
      </c>
      <c r="D58" s="147">
        <v>3</v>
      </c>
      <c r="E58" s="108">
        <f>C58*D58</f>
        <v>15</v>
      </c>
    </row>
    <row r="59" spans="2:5" ht="15.75" thickBot="1" x14ac:dyDescent="0.3">
      <c r="B59" s="15"/>
      <c r="C59" s="16"/>
      <c r="D59" s="16"/>
      <c r="E59" s="111">
        <f>SUM(E55:E58)</f>
        <v>245</v>
      </c>
    </row>
    <row r="60" spans="2:5" outlineLevel="1" x14ac:dyDescent="0.25"/>
    <row r="61" spans="2:5" outlineLevel="1" x14ac:dyDescent="0.25"/>
    <row r="62" spans="2:5" outlineLevel="1" x14ac:dyDescent="0.25"/>
    <row r="63" spans="2:5" outlineLevel="1" x14ac:dyDescent="0.25"/>
    <row r="64" spans="2:5" outlineLevel="1" x14ac:dyDescent="0.25"/>
    <row r="65" outlineLevel="1" x14ac:dyDescent="0.25"/>
    <row r="66" outlineLevel="1" x14ac:dyDescent="0.25"/>
    <row r="67" outlineLevel="1" x14ac:dyDescent="0.25"/>
    <row r="68" outlineLevel="1" x14ac:dyDescent="0.25"/>
    <row r="69" outlineLevel="1" x14ac:dyDescent="0.25"/>
    <row r="70" outlineLevel="1" x14ac:dyDescent="0.25"/>
    <row r="71" outlineLevel="1" x14ac:dyDescent="0.25"/>
    <row r="72" outlineLevel="1" x14ac:dyDescent="0.25"/>
    <row r="73" outlineLevel="1" x14ac:dyDescent="0.25"/>
  </sheetData>
  <conditionalFormatting sqref="C8">
    <cfRule type="cellIs" dxfId="2" priority="3" operator="greaterThan">
      <formula>1300</formula>
    </cfRule>
  </conditionalFormatting>
  <conditionalFormatting sqref="C49">
    <cfRule type="cellIs" dxfId="1" priority="1" operator="greaterThan">
      <formula>1300</formula>
    </cfRule>
  </conditionalFormatting>
  <conditionalFormatting sqref="C29">
    <cfRule type="cellIs" dxfId="0" priority="2" operator="greaterThan">
      <formula>1300</formula>
    </cfRule>
  </conditionalFormatting>
  <pageMargins left="0.7" right="0.7" top="0.75" bottom="0.75" header="0.3" footer="0.3"/>
  <pageSetup paperSize="9" orientation="portrait" horizontalDpi="4294967293" vertic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8"/>
  <sheetViews>
    <sheetView showGridLines="0" tabSelected="1" zoomScale="80" zoomScaleNormal="80" zoomScalePageLayoutView="80" workbookViewId="0">
      <selection activeCell="E18" sqref="E18"/>
    </sheetView>
  </sheetViews>
  <sheetFormatPr defaultColWidth="0" defaultRowHeight="16.5" zeroHeight="1" outlineLevelRow="1" outlineLevelCol="1" x14ac:dyDescent="0.3"/>
  <cols>
    <col min="1" max="1" width="5.7109375" style="158" customWidth="1"/>
    <col min="2" max="2" width="40.42578125" style="158" customWidth="1"/>
    <col min="3" max="3" width="38.7109375" style="158" bestFit="1" customWidth="1"/>
    <col min="4" max="4" width="12" style="158" customWidth="1"/>
    <col min="5" max="5" width="14.7109375" style="163" customWidth="1"/>
    <col min="6" max="6" width="14.7109375" style="160" customWidth="1"/>
    <col min="7" max="7" width="13.7109375" style="156" bestFit="1" customWidth="1"/>
    <col min="8" max="8" width="11.85546875" style="158" hidden="1" customWidth="1"/>
    <col min="9" max="9" width="13.42578125" style="158" hidden="1" customWidth="1" outlineLevel="1"/>
    <col min="10" max="10" width="8.85546875" style="158" hidden="1" customWidth="1" collapsed="1"/>
    <col min="11" max="11" width="8.85546875" style="158" hidden="1" customWidth="1"/>
    <col min="12" max="12" width="13.140625" style="158" hidden="1" customWidth="1"/>
    <col min="13" max="13" width="12.140625" style="158" hidden="1" customWidth="1"/>
    <col min="14" max="16384" width="8.85546875" style="158" hidden="1"/>
  </cols>
  <sheetData>
    <row r="1" spans="1:6" x14ac:dyDescent="0.3"/>
    <row r="2" spans="1:6" ht="18.75" x14ac:dyDescent="0.3">
      <c r="B2" s="159" t="s">
        <v>262</v>
      </c>
      <c r="D2" s="156"/>
      <c r="E2" s="156"/>
      <c r="F2" s="156"/>
    </row>
    <row r="3" spans="1:6" ht="17.25" thickBot="1" x14ac:dyDescent="0.35">
      <c r="B3" s="161"/>
      <c r="C3" s="162"/>
    </row>
    <row r="4" spans="1:6" ht="17.25" thickBot="1" x14ac:dyDescent="0.35">
      <c r="A4" s="158">
        <v>1</v>
      </c>
      <c r="B4" s="200"/>
      <c r="C4" s="201"/>
      <c r="D4" s="201"/>
      <c r="E4" s="202" t="s">
        <v>16</v>
      </c>
      <c r="F4" s="203" t="s">
        <v>222</v>
      </c>
    </row>
    <row r="5" spans="1:6" outlineLevel="1" x14ac:dyDescent="0.3">
      <c r="A5" s="158">
        <v>2</v>
      </c>
      <c r="B5" s="204"/>
      <c r="C5" s="205"/>
      <c r="D5" s="206"/>
      <c r="E5" s="207"/>
      <c r="F5" s="208"/>
    </row>
    <row r="6" spans="1:6" outlineLevel="1" x14ac:dyDescent="0.3">
      <c r="A6" s="158">
        <v>3</v>
      </c>
      <c r="B6" s="226" t="s">
        <v>244</v>
      </c>
      <c r="C6" s="210" t="s">
        <v>4</v>
      </c>
      <c r="D6" s="212"/>
      <c r="E6" s="220">
        <f>'Input Technical Data'!C5</f>
        <v>0</v>
      </c>
      <c r="F6" s="227">
        <f>'Input Technical Data'!D5</f>
        <v>0</v>
      </c>
    </row>
    <row r="7" spans="1:6" outlineLevel="1" x14ac:dyDescent="0.3">
      <c r="A7" s="158">
        <v>4</v>
      </c>
      <c r="B7" s="228"/>
      <c r="C7" s="214" t="s">
        <v>3</v>
      </c>
      <c r="D7" s="166"/>
      <c r="E7" s="169">
        <f>'Input Technical Data'!C6</f>
        <v>0</v>
      </c>
      <c r="F7" s="229">
        <f>'Input Technical Data'!D6</f>
        <v>0</v>
      </c>
    </row>
    <row r="8" spans="1:6" outlineLevel="1" x14ac:dyDescent="0.3">
      <c r="A8" s="158">
        <v>5</v>
      </c>
      <c r="B8" s="228"/>
      <c r="C8" s="214" t="s">
        <v>144</v>
      </c>
      <c r="D8" s="166"/>
      <c r="E8" s="170">
        <f>'Input Technical Data'!C7</f>
        <v>0</v>
      </c>
      <c r="F8" s="171">
        <f>'Input Technical Data'!D7</f>
        <v>0</v>
      </c>
    </row>
    <row r="9" spans="1:6" outlineLevel="1" x14ac:dyDescent="0.3">
      <c r="A9" s="158">
        <v>6</v>
      </c>
      <c r="B9" s="230"/>
      <c r="C9" s="216" t="s">
        <v>1</v>
      </c>
      <c r="D9" s="218"/>
      <c r="E9" s="219">
        <f>'Input Technical Data'!C8</f>
        <v>0</v>
      </c>
      <c r="F9" s="231">
        <f>'Input Technical Data'!D8</f>
        <v>0</v>
      </c>
    </row>
    <row r="10" spans="1:6" outlineLevel="1" x14ac:dyDescent="0.3">
      <c r="A10" s="158">
        <v>7</v>
      </c>
      <c r="B10" s="168"/>
      <c r="C10" s="166"/>
      <c r="D10" s="166"/>
      <c r="E10" s="172"/>
      <c r="F10" s="171"/>
    </row>
    <row r="11" spans="1:6" outlineLevel="1" x14ac:dyDescent="0.3">
      <c r="A11" s="158">
        <v>8</v>
      </c>
      <c r="B11" s="226" t="s">
        <v>251</v>
      </c>
      <c r="C11" s="211" t="s">
        <v>146</v>
      </c>
      <c r="D11" s="212"/>
      <c r="E11" s="213">
        <f>'Input- Cost'!D20</f>
        <v>0</v>
      </c>
      <c r="F11" s="232">
        <f>'Input- Cost'!E20</f>
        <v>0</v>
      </c>
    </row>
    <row r="12" spans="1:6" outlineLevel="1" x14ac:dyDescent="0.3">
      <c r="A12" s="158">
        <v>9</v>
      </c>
      <c r="B12" s="228"/>
      <c r="C12" s="215" t="s">
        <v>165</v>
      </c>
      <c r="D12" s="166"/>
      <c r="E12" s="170">
        <f>'Input- Cost'!D21</f>
        <v>0</v>
      </c>
      <c r="F12" s="171">
        <f>'Input- Cost'!E21</f>
        <v>0</v>
      </c>
    </row>
    <row r="13" spans="1:6" outlineLevel="1" x14ac:dyDescent="0.3">
      <c r="A13" s="158">
        <v>10</v>
      </c>
      <c r="B13" s="228"/>
      <c r="C13" s="215" t="s">
        <v>232</v>
      </c>
      <c r="D13" s="166"/>
      <c r="E13" s="170">
        <f>'Input- Cost'!D22</f>
        <v>0</v>
      </c>
      <c r="F13" s="171">
        <f>'Input- Cost'!E22</f>
        <v>0</v>
      </c>
    </row>
    <row r="14" spans="1:6" outlineLevel="1" x14ac:dyDescent="0.3">
      <c r="A14" s="158">
        <v>11</v>
      </c>
      <c r="B14" s="230"/>
      <c r="C14" s="217" t="s">
        <v>166</v>
      </c>
      <c r="D14" s="218"/>
      <c r="E14" s="219">
        <f>'Input- Cost'!D23</f>
        <v>0</v>
      </c>
      <c r="F14" s="231">
        <f>'Input- Cost'!E23</f>
        <v>0</v>
      </c>
    </row>
    <row r="15" spans="1:6" outlineLevel="1" x14ac:dyDescent="0.3">
      <c r="A15" s="158">
        <v>12</v>
      </c>
      <c r="B15" s="164" t="s">
        <v>245</v>
      </c>
      <c r="C15" s="351" t="s">
        <v>243</v>
      </c>
      <c r="D15" s="352"/>
      <c r="E15" s="353">
        <f>SUM(E11:E14)</f>
        <v>0</v>
      </c>
      <c r="F15" s="354">
        <f>SUM(F11:F14)</f>
        <v>0</v>
      </c>
    </row>
    <row r="16" spans="1:6" outlineLevel="1" x14ac:dyDescent="0.3">
      <c r="A16" s="158">
        <v>13</v>
      </c>
      <c r="B16" s="164"/>
      <c r="C16" s="214"/>
      <c r="D16" s="165"/>
      <c r="E16" s="221"/>
      <c r="F16" s="233"/>
    </row>
    <row r="17" spans="1:10" outlineLevel="1" x14ac:dyDescent="0.3">
      <c r="A17" s="158">
        <v>14</v>
      </c>
      <c r="B17" s="168" t="s">
        <v>247</v>
      </c>
      <c r="C17" s="214" t="s">
        <v>243</v>
      </c>
      <c r="D17" s="166"/>
      <c r="E17" s="172">
        <f>('Input- Cost'!D7*('Unit Economics'!E15*(1+'Input- Cost'!D11)))*'Input- Cost'!D12+('Input- Cost'!D8*('Unit Economics'!E15*(1+'Input- Cost'!D11)*(1-'Input- Cost'!D12)))</f>
        <v>0</v>
      </c>
      <c r="F17" s="173">
        <f>('Input- Cost'!E7*('Unit Economics'!F15*(1+'Input- Cost'!E11)))*'Input- Cost'!E12+('Input- Cost'!E8*('Unit Economics'!F15*(1+'Input- Cost'!E11)*(1-'Input- Cost'!E12)))</f>
        <v>0</v>
      </c>
    </row>
    <row r="18" spans="1:10" outlineLevel="1" x14ac:dyDescent="0.3">
      <c r="A18" s="158">
        <v>15</v>
      </c>
      <c r="B18" s="164" t="s">
        <v>249</v>
      </c>
      <c r="C18" s="355" t="s">
        <v>243</v>
      </c>
      <c r="D18" s="165"/>
      <c r="E18" s="221">
        <f>E15+E17</f>
        <v>0</v>
      </c>
      <c r="F18" s="233">
        <f>F15+F17</f>
        <v>0</v>
      </c>
    </row>
    <row r="19" spans="1:10" outlineLevel="1" x14ac:dyDescent="0.3">
      <c r="A19" s="158">
        <v>16</v>
      </c>
      <c r="B19" s="164"/>
      <c r="C19" s="214"/>
      <c r="D19" s="166"/>
      <c r="E19" s="172"/>
      <c r="F19" s="173"/>
    </row>
    <row r="20" spans="1:10" outlineLevel="1" x14ac:dyDescent="0.3">
      <c r="A20" s="158">
        <v>17</v>
      </c>
      <c r="B20" s="164" t="s">
        <v>248</v>
      </c>
      <c r="C20" s="355" t="s">
        <v>243</v>
      </c>
      <c r="D20" s="165"/>
      <c r="E20" s="223">
        <f>E18*(1+'Input- Cost'!D9)*'Input- Cost'!D12+E18*(1+'Input- Cost'!D10)*(1-'Input- Cost'!D12)</f>
        <v>0</v>
      </c>
      <c r="F20" s="234">
        <f>F18*(1+'Input- Cost'!E9)*'Input- Cost'!E12+F18*(1+'Input- Cost'!E10)*(1-'Input- Cost'!E12)</f>
        <v>0</v>
      </c>
    </row>
    <row r="21" spans="1:10" outlineLevel="1" x14ac:dyDescent="0.3">
      <c r="A21" s="158">
        <v>18</v>
      </c>
      <c r="B21" s="164"/>
      <c r="C21" s="214"/>
      <c r="D21" s="166"/>
      <c r="E21" s="172"/>
      <c r="F21" s="173"/>
    </row>
    <row r="22" spans="1:10" outlineLevel="1" x14ac:dyDescent="0.3">
      <c r="A22" s="158">
        <v>19</v>
      </c>
      <c r="B22" s="168" t="s">
        <v>246</v>
      </c>
      <c r="C22" s="214" t="s">
        <v>243</v>
      </c>
      <c r="D22" s="166"/>
      <c r="E22" s="172">
        <f>E20*'Input- Cost'!D6</f>
        <v>0</v>
      </c>
      <c r="F22" s="173">
        <f>F20*'Input- Cost'!E6</f>
        <v>0</v>
      </c>
    </row>
    <row r="23" spans="1:10" outlineLevel="1" x14ac:dyDescent="0.3">
      <c r="A23" s="158">
        <v>20</v>
      </c>
      <c r="B23" s="164"/>
      <c r="C23" s="214"/>
      <c r="D23" s="166"/>
      <c r="E23" s="172"/>
      <c r="F23" s="173"/>
    </row>
    <row r="24" spans="1:10" outlineLevel="1" x14ac:dyDescent="0.3">
      <c r="A24" s="158">
        <v>21</v>
      </c>
      <c r="B24" s="222" t="s">
        <v>250</v>
      </c>
      <c r="C24" s="356" t="s">
        <v>243</v>
      </c>
      <c r="D24" s="218"/>
      <c r="E24" s="357">
        <f>E20+E22</f>
        <v>0</v>
      </c>
      <c r="F24" s="358">
        <f>F20+F22</f>
        <v>0</v>
      </c>
    </row>
    <row r="25" spans="1:10" ht="17.25" outlineLevel="1" thickBot="1" x14ac:dyDescent="0.35">
      <c r="A25" s="158">
        <v>22</v>
      </c>
      <c r="B25" s="222" t="s">
        <v>250</v>
      </c>
      <c r="C25" s="224" t="s">
        <v>5</v>
      </c>
      <c r="D25" s="224"/>
      <c r="E25" s="225">
        <f>E24*'Input- Cost'!D19</f>
        <v>0</v>
      </c>
      <c r="F25" s="235">
        <f>F24*'Input- Cost'!E19</f>
        <v>0</v>
      </c>
      <c r="G25" s="157"/>
    </row>
    <row r="26" spans="1:10" ht="17.25" outlineLevel="1" thickTop="1" x14ac:dyDescent="0.3">
      <c r="A26" s="158">
        <v>23</v>
      </c>
      <c r="B26" s="168"/>
      <c r="C26" s="359"/>
      <c r="D26" s="360"/>
      <c r="E26" s="361"/>
      <c r="F26" s="362"/>
    </row>
    <row r="27" spans="1:10" outlineLevel="1" x14ac:dyDescent="0.3">
      <c r="A27" s="158">
        <v>24</v>
      </c>
      <c r="B27" s="164"/>
      <c r="C27" s="214"/>
      <c r="D27" s="166"/>
      <c r="E27" s="174"/>
      <c r="F27" s="175"/>
      <c r="I27" s="177"/>
      <c r="J27" s="177"/>
    </row>
    <row r="28" spans="1:10" outlineLevel="1" x14ac:dyDescent="0.3">
      <c r="A28" s="158">
        <v>25</v>
      </c>
      <c r="B28" s="373" t="s">
        <v>170</v>
      </c>
      <c r="C28" s="366" t="s">
        <v>15</v>
      </c>
      <c r="D28" s="367"/>
      <c r="E28" s="368" t="s">
        <v>2</v>
      </c>
      <c r="F28" s="374" t="s">
        <v>2</v>
      </c>
    </row>
    <row r="29" spans="1:10" outlineLevel="1" x14ac:dyDescent="0.3">
      <c r="A29" s="158">
        <v>26</v>
      </c>
      <c r="B29" s="164"/>
      <c r="C29" s="214"/>
      <c r="D29" s="166"/>
      <c r="E29" s="170"/>
      <c r="F29" s="171"/>
    </row>
    <row r="30" spans="1:10" outlineLevel="1" x14ac:dyDescent="0.3">
      <c r="A30" s="158">
        <v>27</v>
      </c>
      <c r="B30" s="168"/>
      <c r="C30" s="214" t="s">
        <v>12</v>
      </c>
      <c r="D30" s="166"/>
      <c r="E30" s="349">
        <f>'Input Technical Data'!C9</f>
        <v>0</v>
      </c>
      <c r="F30" s="350">
        <f>'Input Technical Data'!D9</f>
        <v>0</v>
      </c>
    </row>
    <row r="31" spans="1:10" outlineLevel="1" x14ac:dyDescent="0.3">
      <c r="A31" s="158">
        <v>28</v>
      </c>
      <c r="B31" s="168"/>
      <c r="C31" s="214" t="s">
        <v>17</v>
      </c>
      <c r="D31" s="166"/>
      <c r="E31" s="349">
        <f>'Input Technical Data'!C11</f>
        <v>0</v>
      </c>
      <c r="F31" s="350">
        <f>'Input Technical Data'!D11</f>
        <v>0</v>
      </c>
      <c r="I31" s="178"/>
      <c r="J31" s="178"/>
    </row>
    <row r="32" spans="1:10" outlineLevel="1" x14ac:dyDescent="0.3">
      <c r="A32" s="158">
        <v>29</v>
      </c>
      <c r="B32" s="168"/>
      <c r="C32" s="363"/>
      <c r="D32" s="166"/>
      <c r="E32" s="170"/>
      <c r="F32" s="171"/>
    </row>
    <row r="33" spans="1:13" outlineLevel="1" x14ac:dyDescent="0.3">
      <c r="A33" s="158">
        <v>30</v>
      </c>
      <c r="B33" s="168"/>
      <c r="C33" s="214" t="s">
        <v>8</v>
      </c>
      <c r="D33" s="166"/>
      <c r="E33" s="196" t="e">
        <f>E31/E30</f>
        <v>#DIV/0!</v>
      </c>
      <c r="F33" s="197" t="e">
        <f>F31/F30</f>
        <v>#DIV/0!</v>
      </c>
    </row>
    <row r="34" spans="1:13" outlineLevel="1" x14ac:dyDescent="0.3">
      <c r="A34" s="158">
        <v>31</v>
      </c>
      <c r="B34" s="168"/>
      <c r="C34" s="214"/>
      <c r="D34" s="166"/>
      <c r="F34" s="167"/>
    </row>
    <row r="35" spans="1:13" outlineLevel="1" x14ac:dyDescent="0.3">
      <c r="A35" s="158">
        <v>32</v>
      </c>
      <c r="B35" s="168"/>
      <c r="C35" s="214"/>
      <c r="D35" s="166"/>
      <c r="F35" s="167"/>
    </row>
    <row r="36" spans="1:13" outlineLevel="1" x14ac:dyDescent="0.3">
      <c r="A36" s="158">
        <v>33</v>
      </c>
      <c r="B36" s="164" t="s">
        <v>152</v>
      </c>
      <c r="C36" s="214" t="s">
        <v>238</v>
      </c>
      <c r="D36" s="166"/>
      <c r="E36" s="198">
        <f>'Input Technical Data'!C14</f>
        <v>0</v>
      </c>
      <c r="F36" s="199">
        <f>'Input Technical Data'!D14</f>
        <v>0</v>
      </c>
    </row>
    <row r="37" spans="1:13" outlineLevel="1" x14ac:dyDescent="0.3">
      <c r="A37" s="158">
        <v>34</v>
      </c>
      <c r="B37" s="164"/>
      <c r="C37" s="214" t="s">
        <v>239</v>
      </c>
      <c r="D37" s="166"/>
      <c r="E37" s="198">
        <f>'Input Technical Data'!C15</f>
        <v>0</v>
      </c>
      <c r="F37" s="199">
        <f>'Input Technical Data'!D15</f>
        <v>0</v>
      </c>
    </row>
    <row r="38" spans="1:13" outlineLevel="1" x14ac:dyDescent="0.3">
      <c r="A38" s="158">
        <v>35</v>
      </c>
      <c r="B38" s="168"/>
      <c r="C38" s="214" t="s">
        <v>240</v>
      </c>
      <c r="D38" s="166"/>
      <c r="E38" s="198">
        <f>'Input Technical Data'!C16</f>
        <v>0</v>
      </c>
      <c r="F38" s="199">
        <f>'Input Technical Data'!D16</f>
        <v>0</v>
      </c>
    </row>
    <row r="39" spans="1:13" outlineLevel="1" x14ac:dyDescent="0.3">
      <c r="A39" s="158">
        <v>36</v>
      </c>
      <c r="B39" s="168"/>
      <c r="C39" s="214" t="s">
        <v>241</v>
      </c>
      <c r="D39" s="166"/>
      <c r="E39" s="198">
        <f>'Input Technical Data'!C17</f>
        <v>0</v>
      </c>
      <c r="F39" s="199">
        <f>'Input Technical Data'!D17</f>
        <v>0</v>
      </c>
    </row>
    <row r="40" spans="1:13" outlineLevel="1" x14ac:dyDescent="0.3">
      <c r="A40" s="158">
        <v>37</v>
      </c>
      <c r="B40" s="168"/>
      <c r="C40" s="214"/>
      <c r="D40" s="166"/>
      <c r="F40" s="167"/>
    </row>
    <row r="41" spans="1:13" outlineLevel="1" x14ac:dyDescent="0.3">
      <c r="A41" s="158">
        <v>38</v>
      </c>
      <c r="B41" s="168"/>
      <c r="C41" s="214" t="s">
        <v>154</v>
      </c>
      <c r="D41" s="166"/>
      <c r="E41" s="172">
        <f>((E38*E36) + (E39*E37))</f>
        <v>0</v>
      </c>
      <c r="F41" s="173">
        <f>((F38*F36) + (F39*F37))</f>
        <v>0</v>
      </c>
      <c r="I41" s="177"/>
      <c r="J41" s="177"/>
    </row>
    <row r="42" spans="1:13" outlineLevel="1" x14ac:dyDescent="0.3">
      <c r="A42" s="158">
        <v>39</v>
      </c>
      <c r="B42" s="168"/>
      <c r="C42" s="214" t="s">
        <v>155</v>
      </c>
      <c r="D42" s="166"/>
      <c r="E42" s="174">
        <f>E41*'Input- Cost'!D19</f>
        <v>0</v>
      </c>
      <c r="F42" s="175">
        <f>F41*'Input- Cost'!E19</f>
        <v>0</v>
      </c>
      <c r="I42" s="177"/>
      <c r="J42" s="177"/>
    </row>
    <row r="43" spans="1:13" outlineLevel="1" x14ac:dyDescent="0.3">
      <c r="A43" s="158">
        <v>40</v>
      </c>
      <c r="B43" s="168"/>
      <c r="C43" s="214"/>
      <c r="D43" s="166"/>
      <c r="F43" s="167"/>
    </row>
    <row r="44" spans="1:13" outlineLevel="1" x14ac:dyDescent="0.3">
      <c r="A44" s="158">
        <v>41</v>
      </c>
      <c r="B44" s="164" t="s">
        <v>29</v>
      </c>
      <c r="C44" s="214" t="s">
        <v>30</v>
      </c>
      <c r="D44" s="166"/>
      <c r="E44" s="179">
        <f>'Input- Cost'!D4</f>
        <v>0</v>
      </c>
      <c r="F44" s="180">
        <f>'Input- Cost'!E4</f>
        <v>0</v>
      </c>
    </row>
    <row r="45" spans="1:13" outlineLevel="1" x14ac:dyDescent="0.3">
      <c r="A45" s="158">
        <v>42</v>
      </c>
      <c r="B45" s="164"/>
      <c r="C45" s="214" t="s">
        <v>31</v>
      </c>
      <c r="D45" s="166"/>
      <c r="E45" s="181">
        <f>'Input- Cost'!D5</f>
        <v>0</v>
      </c>
      <c r="F45" s="182">
        <f>'Input- Cost'!E5</f>
        <v>0</v>
      </c>
      <c r="G45" s="157"/>
      <c r="I45" s="183"/>
    </row>
    <row r="46" spans="1:13" outlineLevel="1" x14ac:dyDescent="0.3">
      <c r="A46" s="158">
        <v>43</v>
      </c>
      <c r="B46" s="168"/>
      <c r="C46" s="216"/>
      <c r="D46" s="218"/>
      <c r="E46" s="364"/>
      <c r="F46" s="365"/>
      <c r="G46" s="176"/>
      <c r="M46" s="184"/>
    </row>
    <row r="47" spans="1:13" outlineLevel="1" x14ac:dyDescent="0.3">
      <c r="A47" s="158">
        <v>44</v>
      </c>
      <c r="B47" s="372" t="s">
        <v>43</v>
      </c>
      <c r="C47" s="212" t="s">
        <v>9</v>
      </c>
      <c r="D47" s="212"/>
      <c r="E47" s="369">
        <f>E44*E30*(1-E45)</f>
        <v>0</v>
      </c>
      <c r="F47" s="370">
        <f>F44*F30*(1-F45)</f>
        <v>0</v>
      </c>
      <c r="L47" s="185"/>
    </row>
    <row r="48" spans="1:13" x14ac:dyDescent="0.3">
      <c r="A48" s="158">
        <v>45</v>
      </c>
      <c r="B48" s="375"/>
      <c r="C48" s="210"/>
      <c r="D48" s="212"/>
      <c r="E48" s="371"/>
      <c r="F48" s="376"/>
      <c r="G48" s="157"/>
    </row>
    <row r="49" spans="1:9" x14ac:dyDescent="0.3">
      <c r="A49" s="158">
        <v>46</v>
      </c>
      <c r="B49" s="164" t="s">
        <v>10</v>
      </c>
      <c r="C49" s="214" t="s">
        <v>11</v>
      </c>
      <c r="D49" s="166"/>
      <c r="E49" s="170">
        <f>'Input- Cost'!D24</f>
        <v>0</v>
      </c>
      <c r="F49" s="171">
        <f>'Input- Cost'!E24</f>
        <v>0</v>
      </c>
      <c r="G49" s="176"/>
    </row>
    <row r="50" spans="1:9" x14ac:dyDescent="0.3">
      <c r="A50" s="158">
        <v>47</v>
      </c>
      <c r="B50" s="168"/>
      <c r="C50" s="214" t="s">
        <v>150</v>
      </c>
      <c r="D50" s="166"/>
      <c r="E50" s="181">
        <f>'Input- Cost'!D25</f>
        <v>0</v>
      </c>
      <c r="F50" s="182">
        <f>'Input- Cost'!E25</f>
        <v>0</v>
      </c>
    </row>
    <row r="51" spans="1:9" x14ac:dyDescent="0.3">
      <c r="A51" s="158">
        <v>48</v>
      </c>
      <c r="B51" s="168"/>
      <c r="C51" s="214"/>
      <c r="D51" s="166"/>
      <c r="F51" s="167"/>
    </row>
    <row r="52" spans="1:9" x14ac:dyDescent="0.3">
      <c r="A52" s="158">
        <v>49</v>
      </c>
      <c r="B52" s="164" t="s">
        <v>40</v>
      </c>
      <c r="C52" s="214" t="s">
        <v>44</v>
      </c>
      <c r="D52" s="166"/>
      <c r="E52" s="186">
        <f>'Input- Cost'!D26</f>
        <v>0</v>
      </c>
      <c r="F52" s="187">
        <f>'Input- Cost'!E26</f>
        <v>0</v>
      </c>
    </row>
    <row r="53" spans="1:9" x14ac:dyDescent="0.3">
      <c r="A53" s="158">
        <v>50</v>
      </c>
      <c r="B53" s="164"/>
      <c r="C53" s="214" t="s">
        <v>227</v>
      </c>
      <c r="D53" s="166"/>
      <c r="E53" s="186">
        <f>'Input- Cost'!D27</f>
        <v>0</v>
      </c>
      <c r="F53" s="187">
        <f>'Input- Cost'!E27</f>
        <v>0</v>
      </c>
    </row>
    <row r="54" spans="1:9" x14ac:dyDescent="0.3">
      <c r="A54" s="158">
        <v>51</v>
      </c>
      <c r="B54" s="168"/>
      <c r="C54" s="214" t="s">
        <v>149</v>
      </c>
      <c r="D54" s="166"/>
      <c r="E54" s="186">
        <f>'Input- Cost'!D28</f>
        <v>0</v>
      </c>
      <c r="F54" s="187">
        <f>'Input- Cost'!E28</f>
        <v>0</v>
      </c>
    </row>
    <row r="55" spans="1:9" x14ac:dyDescent="0.3">
      <c r="A55" s="158">
        <v>52</v>
      </c>
      <c r="B55" s="168"/>
      <c r="C55" s="214"/>
      <c r="D55" s="166"/>
      <c r="F55" s="167"/>
    </row>
    <row r="56" spans="1:9" x14ac:dyDescent="0.3">
      <c r="A56" s="158">
        <v>53</v>
      </c>
      <c r="B56" s="164" t="s">
        <v>37</v>
      </c>
      <c r="C56" s="214" t="s">
        <v>158</v>
      </c>
      <c r="D56" s="166"/>
      <c r="E56" s="170">
        <f>'Input- Cost'!D29</f>
        <v>0</v>
      </c>
      <c r="F56" s="171">
        <f>'Input- Cost'!E29</f>
        <v>0</v>
      </c>
    </row>
    <row r="57" spans="1:9" x14ac:dyDescent="0.3">
      <c r="A57" s="158">
        <v>54</v>
      </c>
      <c r="B57" s="164"/>
      <c r="C57" s="214" t="s">
        <v>159</v>
      </c>
      <c r="D57" s="166"/>
      <c r="E57" s="170">
        <f>'Input- Cost'!D30</f>
        <v>0</v>
      </c>
      <c r="F57" s="171">
        <f>'Input- Cost'!E30</f>
        <v>0</v>
      </c>
    </row>
    <row r="58" spans="1:9" x14ac:dyDescent="0.3">
      <c r="A58" s="158">
        <v>55</v>
      </c>
      <c r="B58" s="164"/>
      <c r="C58" s="214" t="s">
        <v>82</v>
      </c>
      <c r="D58" s="166"/>
      <c r="E58" s="188" t="e">
        <f>-E25/E56</f>
        <v>#DIV/0!</v>
      </c>
      <c r="F58" s="189" t="e">
        <f>-F25/F56</f>
        <v>#DIV/0!</v>
      </c>
    </row>
    <row r="59" spans="1:9" x14ac:dyDescent="0.3">
      <c r="A59" s="158">
        <v>56</v>
      </c>
      <c r="B59" s="164"/>
      <c r="C59" s="214"/>
      <c r="D59" s="166"/>
      <c r="E59" s="170"/>
      <c r="F59" s="171"/>
    </row>
    <row r="60" spans="1:9" x14ac:dyDescent="0.3">
      <c r="A60" s="158">
        <v>57</v>
      </c>
      <c r="B60" s="164" t="s">
        <v>53</v>
      </c>
      <c r="C60" s="214" t="s">
        <v>54</v>
      </c>
      <c r="D60" s="166"/>
      <c r="E60" s="170">
        <f>'Input- Cost'!D31</f>
        <v>0</v>
      </c>
      <c r="F60" s="171">
        <f>'Input- Cost'!E31</f>
        <v>0</v>
      </c>
    </row>
    <row r="61" spans="1:9" x14ac:dyDescent="0.3">
      <c r="A61" s="158">
        <v>58</v>
      </c>
      <c r="B61" s="164"/>
      <c r="C61" s="214" t="s">
        <v>55</v>
      </c>
      <c r="D61" s="166"/>
      <c r="E61" s="170">
        <f>'Input- Cost'!D32</f>
        <v>0</v>
      </c>
      <c r="F61" s="171">
        <f>'Input- Cost'!E32</f>
        <v>0</v>
      </c>
      <c r="I61" s="190" t="s">
        <v>2</v>
      </c>
    </row>
    <row r="62" spans="1:9" x14ac:dyDescent="0.3">
      <c r="A62" s="158">
        <v>59</v>
      </c>
      <c r="B62" s="164"/>
      <c r="C62" s="214" t="s">
        <v>56</v>
      </c>
      <c r="D62" s="166"/>
      <c r="E62" s="163">
        <f>E60*E61</f>
        <v>0</v>
      </c>
      <c r="F62" s="167">
        <f>F60*F61</f>
        <v>0</v>
      </c>
      <c r="I62" s="190">
        <f>SUM(F62:G62)</f>
        <v>0</v>
      </c>
    </row>
    <row r="63" spans="1:9" x14ac:dyDescent="0.3">
      <c r="A63" s="158">
        <v>60</v>
      </c>
      <c r="B63" s="164"/>
      <c r="C63" s="214" t="s">
        <v>229</v>
      </c>
      <c r="D63" s="166"/>
      <c r="E63" s="170">
        <v>12</v>
      </c>
      <c r="F63" s="171">
        <v>12</v>
      </c>
      <c r="I63" s="190"/>
    </row>
    <row r="64" spans="1:9" x14ac:dyDescent="0.3">
      <c r="A64" s="158">
        <v>61</v>
      </c>
      <c r="B64" s="164"/>
      <c r="C64" s="214" t="s">
        <v>57</v>
      </c>
      <c r="D64" s="166"/>
      <c r="E64" s="188">
        <f>-E62/E63</f>
        <v>0</v>
      </c>
      <c r="F64" s="189">
        <f>-F62/F63</f>
        <v>0</v>
      </c>
      <c r="I64" s="191">
        <f>SUM(F64:G64)</f>
        <v>0</v>
      </c>
    </row>
    <row r="65" spans="1:6" ht="17.25" thickBot="1" x14ac:dyDescent="0.35">
      <c r="A65" s="158">
        <v>62</v>
      </c>
      <c r="B65" s="192"/>
      <c r="C65" s="377"/>
      <c r="D65" s="193"/>
      <c r="E65" s="194"/>
      <c r="F65" s="195"/>
    </row>
    <row r="66" spans="1:6" x14ac:dyDescent="0.3"/>
    <row r="67" spans="1:6" x14ac:dyDescent="0.3"/>
    <row r="68" spans="1:6" x14ac:dyDescent="0.3"/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12"/>
  <sheetViews>
    <sheetView showGridLines="0" zoomScale="60" zoomScaleNormal="60" zoomScalePageLayoutView="60" workbookViewId="0">
      <selection activeCell="H51" sqref="H51"/>
    </sheetView>
  </sheetViews>
  <sheetFormatPr defaultColWidth="0" defaultRowHeight="13.5" zeroHeight="1" outlineLevelCol="1" x14ac:dyDescent="0.25"/>
  <cols>
    <col min="1" max="1" width="8.85546875" style="247" bestFit="1" customWidth="1"/>
    <col min="2" max="2" width="34.140625" style="247" customWidth="1"/>
    <col min="3" max="3" width="29.140625" style="247" customWidth="1"/>
    <col min="4" max="4" width="7.7109375" style="247" customWidth="1"/>
    <col min="5" max="5" width="17" style="247" customWidth="1" outlineLevel="1"/>
    <col min="6" max="8" width="16.28515625" style="247" customWidth="1" outlineLevel="1"/>
    <col min="9" max="9" width="18.140625" style="247" bestFit="1" customWidth="1"/>
    <col min="10" max="10" width="18" style="247" customWidth="1"/>
    <col min="11" max="11" width="15.28515625" style="247" bestFit="1" customWidth="1"/>
    <col min="12" max="13" width="15.7109375" style="247" bestFit="1" customWidth="1"/>
    <col min="14" max="14" width="16.42578125" style="247" bestFit="1" customWidth="1"/>
    <col min="15" max="15" width="15.28515625" style="247" bestFit="1" customWidth="1"/>
    <col min="16" max="17" width="15.7109375" style="247" bestFit="1" customWidth="1"/>
    <col min="18" max="18" width="16.42578125" style="247" bestFit="1" customWidth="1"/>
    <col min="19" max="19" width="16.42578125" style="249" bestFit="1" customWidth="1"/>
    <col min="20" max="20" width="16.28515625" style="249" hidden="1" customWidth="1"/>
    <col min="21" max="21" width="15.85546875" style="249" hidden="1" customWidth="1"/>
    <col min="22" max="22" width="8.85546875" style="247" hidden="1" customWidth="1"/>
    <col min="23" max="23" width="12.85546875" style="247" hidden="1" customWidth="1"/>
    <col min="24" max="16384" width="8.85546875" style="247" hidden="1"/>
  </cols>
  <sheetData>
    <row r="1" spans="1:23" x14ac:dyDescent="0.25"/>
    <row r="2" spans="1:23" x14ac:dyDescent="0.25">
      <c r="B2" s="248" t="s">
        <v>101</v>
      </c>
      <c r="C2" s="248"/>
      <c r="D2" s="248"/>
    </row>
    <row r="3" spans="1:23" x14ac:dyDescent="0.25">
      <c r="B3" s="247" t="s">
        <v>5</v>
      </c>
    </row>
    <row r="4" spans="1:23" ht="14.25" thickBot="1" x14ac:dyDescent="0.3">
      <c r="R4" s="250"/>
    </row>
    <row r="5" spans="1:23" x14ac:dyDescent="0.25">
      <c r="B5" s="251" t="s">
        <v>126</v>
      </c>
      <c r="C5" s="252"/>
      <c r="D5" s="252"/>
      <c r="E5" s="252"/>
      <c r="F5" s="252"/>
      <c r="G5" s="252"/>
      <c r="H5" s="252"/>
      <c r="I5" s="252"/>
      <c r="J5" s="253"/>
      <c r="M5" s="251" t="s">
        <v>136</v>
      </c>
      <c r="N5" s="252"/>
      <c r="O5" s="254"/>
      <c r="P5" s="252"/>
      <c r="Q5" s="252"/>
      <c r="R5" s="253"/>
    </row>
    <row r="6" spans="1:23" x14ac:dyDescent="0.25">
      <c r="B6" s="255"/>
      <c r="C6" s="256"/>
      <c r="D6" s="256"/>
      <c r="E6" s="256"/>
      <c r="F6" s="256"/>
      <c r="G6" s="256"/>
      <c r="H6" s="256"/>
      <c r="I6" s="256"/>
      <c r="J6" s="257"/>
      <c r="M6" s="255"/>
      <c r="N6" s="256"/>
      <c r="O6" s="258"/>
      <c r="P6" s="256"/>
      <c r="Q6" s="256"/>
      <c r="R6" s="257"/>
    </row>
    <row r="7" spans="1:23" x14ac:dyDescent="0.25">
      <c r="A7" s="259">
        <v>1</v>
      </c>
      <c r="B7" s="260"/>
      <c r="C7" s="256"/>
      <c r="D7" s="237" t="s">
        <v>143</v>
      </c>
      <c r="E7" s="256"/>
      <c r="F7" s="256"/>
      <c r="G7" s="256"/>
      <c r="H7" s="256"/>
      <c r="I7" s="261" t="s">
        <v>16</v>
      </c>
      <c r="J7" s="262" t="s">
        <v>222</v>
      </c>
      <c r="M7" s="263" t="s">
        <v>127</v>
      </c>
      <c r="N7" s="256"/>
      <c r="O7" s="258"/>
      <c r="P7" s="264" t="s">
        <v>128</v>
      </c>
      <c r="Q7" s="256"/>
      <c r="R7" s="257"/>
      <c r="T7" s="265"/>
      <c r="U7" s="265"/>
    </row>
    <row r="8" spans="1:23" x14ac:dyDescent="0.25">
      <c r="A8" s="259">
        <f>A7+1</f>
        <v>2</v>
      </c>
      <c r="B8" s="255"/>
      <c r="C8" s="256"/>
      <c r="D8" s="256"/>
      <c r="E8" s="256"/>
      <c r="F8" s="256"/>
      <c r="G8" s="256"/>
      <c r="H8" s="256"/>
      <c r="I8" s="256" t="s">
        <v>102</v>
      </c>
      <c r="J8" s="257" t="s">
        <v>224</v>
      </c>
      <c r="M8" s="255"/>
      <c r="N8" s="256"/>
      <c r="O8" s="258"/>
      <c r="P8" s="256"/>
      <c r="Q8" s="256"/>
      <c r="R8" s="257"/>
    </row>
    <row r="9" spans="1:23" x14ac:dyDescent="0.25">
      <c r="A9" s="259">
        <f t="shared" ref="A9:A10" si="0">A8+1</f>
        <v>3</v>
      </c>
      <c r="B9" s="255"/>
      <c r="C9" s="256"/>
      <c r="D9" s="256"/>
      <c r="E9" s="256"/>
      <c r="F9" s="256"/>
      <c r="G9" s="256"/>
      <c r="H9" s="256"/>
      <c r="I9" s="256"/>
      <c r="J9" s="257"/>
      <c r="M9" s="255" t="s">
        <v>78</v>
      </c>
      <c r="N9" s="266" t="e">
        <f>I118</f>
        <v>#DIV/0!</v>
      </c>
      <c r="O9" s="258"/>
      <c r="P9" s="256" t="s">
        <v>129</v>
      </c>
      <c r="Q9" s="256"/>
      <c r="R9" s="267" t="e">
        <f>-I110</f>
        <v>#DIV/0!</v>
      </c>
      <c r="U9" s="266"/>
      <c r="V9" s="268"/>
      <c r="W9" s="268"/>
    </row>
    <row r="10" spans="1:23" x14ac:dyDescent="0.25">
      <c r="A10" s="259">
        <f t="shared" si="0"/>
        <v>4</v>
      </c>
      <c r="B10" s="260" t="s">
        <v>18</v>
      </c>
      <c r="C10" s="256"/>
      <c r="D10" s="256"/>
      <c r="E10" s="256"/>
      <c r="F10" s="256"/>
      <c r="G10" s="256"/>
      <c r="H10" s="256"/>
      <c r="I10" s="269">
        <f>'Unit Economics'!E31</f>
        <v>0</v>
      </c>
      <c r="J10" s="270">
        <f>'Unit Economics'!F31</f>
        <v>0</v>
      </c>
      <c r="M10" s="255" t="s">
        <v>115</v>
      </c>
      <c r="N10" s="266" t="e">
        <f>SUM(I120:R120)</f>
        <v>#DIV/0!</v>
      </c>
      <c r="O10" s="258"/>
      <c r="P10" s="256" t="s">
        <v>153</v>
      </c>
      <c r="Q10" s="256"/>
      <c r="R10" s="267" t="e">
        <f>-I112</f>
        <v>#DIV/0!</v>
      </c>
      <c r="U10" s="266"/>
      <c r="V10" s="268"/>
    </row>
    <row r="11" spans="1:23" x14ac:dyDescent="0.25">
      <c r="A11" s="259">
        <v>5</v>
      </c>
      <c r="B11" s="255" t="s">
        <v>29</v>
      </c>
      <c r="C11" s="256"/>
      <c r="D11" s="256"/>
      <c r="E11" s="256"/>
      <c r="F11" s="256"/>
      <c r="G11" s="256"/>
      <c r="H11" s="256"/>
      <c r="I11" s="238">
        <f>'Unit Economics'!E44</f>
        <v>0</v>
      </c>
      <c r="J11" s="239">
        <f>'Unit Economics'!F44</f>
        <v>0</v>
      </c>
      <c r="M11" s="255" t="s">
        <v>135</v>
      </c>
      <c r="N11" s="266" t="e">
        <f>SUM(I40:R40)</f>
        <v>#DIV/0!</v>
      </c>
      <c r="O11" s="258"/>
      <c r="P11" s="256" t="s">
        <v>131</v>
      </c>
      <c r="Q11" s="256"/>
      <c r="R11" s="267">
        <f>-I111</f>
        <v>0</v>
      </c>
      <c r="U11" s="266"/>
      <c r="V11" s="268"/>
    </row>
    <row r="12" spans="1:23" x14ac:dyDescent="0.25">
      <c r="A12" s="259">
        <v>6</v>
      </c>
      <c r="B12" s="255"/>
      <c r="C12" s="256"/>
      <c r="D12" s="256"/>
      <c r="E12" s="256"/>
      <c r="F12" s="256"/>
      <c r="G12" s="256"/>
      <c r="H12" s="256"/>
      <c r="I12" s="240"/>
      <c r="J12" s="241"/>
      <c r="M12" s="255"/>
      <c r="O12" s="258"/>
      <c r="P12" s="271" t="s">
        <v>157</v>
      </c>
      <c r="Q12" s="256"/>
      <c r="R12" s="267" t="e">
        <f>-SUM(I114:R114)</f>
        <v>#DIV/0!</v>
      </c>
      <c r="U12" s="266"/>
      <c r="V12" s="268"/>
    </row>
    <row r="13" spans="1:23" x14ac:dyDescent="0.25">
      <c r="A13" s="259">
        <v>7</v>
      </c>
      <c r="B13" s="260" t="s">
        <v>142</v>
      </c>
      <c r="C13" s="256"/>
      <c r="D13" s="256"/>
      <c r="E13" s="256"/>
      <c r="F13" s="256"/>
      <c r="G13" s="256"/>
      <c r="H13" s="256"/>
      <c r="I13" s="272">
        <f>'Input- Cost'!D17</f>
        <v>0</v>
      </c>
      <c r="J13" s="257"/>
      <c r="M13" s="255"/>
      <c r="N13" s="256"/>
      <c r="O13" s="258"/>
      <c r="P13" s="256" t="s">
        <v>39</v>
      </c>
      <c r="Q13" s="256"/>
      <c r="R13" s="267" t="e">
        <f>-SUM(I47:R47)</f>
        <v>#DIV/0!</v>
      </c>
      <c r="U13" s="266"/>
      <c r="V13" s="268"/>
    </row>
    <row r="14" spans="1:23" x14ac:dyDescent="0.25">
      <c r="A14" s="259">
        <f t="shared" ref="A14:A18" si="1">A13+1</f>
        <v>8</v>
      </c>
      <c r="B14" s="260" t="s">
        <v>141</v>
      </c>
      <c r="C14" s="256"/>
      <c r="D14" s="256"/>
      <c r="E14" s="256"/>
      <c r="F14" s="256"/>
      <c r="G14" s="256"/>
      <c r="H14" s="256"/>
      <c r="I14" s="272">
        <f>'Input- Cost'!D18</f>
        <v>0</v>
      </c>
      <c r="J14" s="257"/>
      <c r="M14" s="255"/>
      <c r="N14" s="256"/>
      <c r="O14" s="258"/>
      <c r="P14" s="256" t="s">
        <v>132</v>
      </c>
      <c r="Q14" s="256"/>
      <c r="R14" s="267" t="e">
        <f>-SUM(I48:R48)</f>
        <v>#DIV/0!</v>
      </c>
      <c r="U14" s="266"/>
      <c r="V14" s="268"/>
    </row>
    <row r="15" spans="1:23" x14ac:dyDescent="0.25">
      <c r="A15" s="259">
        <v>9</v>
      </c>
      <c r="B15" s="255"/>
      <c r="C15" s="256"/>
      <c r="D15" s="256"/>
      <c r="E15" s="256"/>
      <c r="F15" s="256"/>
      <c r="G15" s="256"/>
      <c r="H15" s="256"/>
      <c r="I15" s="256"/>
      <c r="J15" s="257"/>
      <c r="M15" s="255"/>
      <c r="N15" s="256"/>
      <c r="O15" s="258"/>
      <c r="P15" s="256" t="s">
        <v>41</v>
      </c>
      <c r="Q15" s="256"/>
      <c r="R15" s="267" t="e">
        <f>-SUM(I49:R49)</f>
        <v>#DIV/0!</v>
      </c>
      <c r="U15" s="266"/>
      <c r="V15" s="268"/>
    </row>
    <row r="16" spans="1:23" x14ac:dyDescent="0.25">
      <c r="A16" s="259">
        <f t="shared" ref="A16" si="2">A15+1</f>
        <v>10</v>
      </c>
      <c r="B16" s="260" t="s">
        <v>164</v>
      </c>
      <c r="I16" s="273">
        <f>'Input- Cost'!D13</f>
        <v>0</v>
      </c>
      <c r="J16" s="257"/>
      <c r="M16" s="255"/>
      <c r="N16" s="256"/>
      <c r="O16" s="258"/>
      <c r="P16" s="256" t="s">
        <v>42</v>
      </c>
      <c r="Q16" s="256"/>
      <c r="R16" s="267" t="e">
        <f>-SUM(I50:R50)</f>
        <v>#DIV/0!</v>
      </c>
      <c r="U16" s="266"/>
      <c r="V16" s="268"/>
    </row>
    <row r="17" spans="1:22" x14ac:dyDescent="0.25">
      <c r="A17" s="259">
        <f t="shared" si="1"/>
        <v>11</v>
      </c>
      <c r="B17" s="255" t="s">
        <v>228</v>
      </c>
      <c r="C17" s="256"/>
      <c r="D17" s="256"/>
      <c r="E17" s="256"/>
      <c r="F17" s="256"/>
      <c r="G17" s="256"/>
      <c r="H17" s="256"/>
      <c r="I17" s="274">
        <f>'Input- Cost'!D14</f>
        <v>0</v>
      </c>
      <c r="J17" s="257"/>
      <c r="M17" s="255"/>
      <c r="N17" s="256"/>
      <c r="O17" s="258"/>
      <c r="P17" s="256" t="s">
        <v>46</v>
      </c>
      <c r="Q17" s="256"/>
      <c r="R17" s="267" t="e">
        <f>-SUM(I58:R58)</f>
        <v>#DIV/0!</v>
      </c>
      <c r="U17" s="266"/>
      <c r="V17" s="268"/>
    </row>
    <row r="18" spans="1:22" x14ac:dyDescent="0.25">
      <c r="A18" s="259">
        <f t="shared" si="1"/>
        <v>12</v>
      </c>
      <c r="B18" s="255" t="s">
        <v>114</v>
      </c>
      <c r="C18" s="256"/>
      <c r="D18" s="256"/>
      <c r="E18" s="256"/>
      <c r="F18" s="256"/>
      <c r="G18" s="256"/>
      <c r="H18" s="256"/>
      <c r="I18" s="273">
        <f>'Input- Cost'!D15</f>
        <v>0</v>
      </c>
      <c r="J18" s="257"/>
      <c r="M18" s="255"/>
      <c r="N18" s="256"/>
      <c r="O18" s="258"/>
      <c r="P18" s="256" t="s">
        <v>103</v>
      </c>
      <c r="Q18" s="256"/>
      <c r="R18" s="267">
        <f>SUM(I62:R62)</f>
        <v>0</v>
      </c>
      <c r="U18" s="266"/>
      <c r="V18" s="268"/>
    </row>
    <row r="19" spans="1:22" x14ac:dyDescent="0.25">
      <c r="A19" s="259">
        <v>13</v>
      </c>
      <c r="B19" s="255"/>
      <c r="C19" s="256"/>
      <c r="D19" s="256"/>
      <c r="E19" s="256"/>
      <c r="F19" s="256"/>
      <c r="G19" s="256"/>
      <c r="H19" s="256"/>
      <c r="I19" s="242"/>
      <c r="J19" s="257"/>
      <c r="M19" s="255"/>
      <c r="N19" s="256"/>
      <c r="O19" s="258"/>
      <c r="P19" s="256" t="s">
        <v>73</v>
      </c>
      <c r="Q19" s="256"/>
      <c r="R19" s="267" t="e">
        <f>-SUM(I121:R121)</f>
        <v>#DIV/0!</v>
      </c>
      <c r="U19" s="266"/>
      <c r="V19" s="268"/>
    </row>
    <row r="20" spans="1:22" x14ac:dyDescent="0.25">
      <c r="A20" s="259">
        <v>14</v>
      </c>
      <c r="B20" s="255" t="s">
        <v>48</v>
      </c>
      <c r="C20" s="256"/>
      <c r="D20" s="256"/>
      <c r="E20" s="256"/>
      <c r="F20" s="256"/>
      <c r="G20" s="256"/>
      <c r="H20" s="256"/>
      <c r="I20" s="273">
        <f>'Input- Cost'!D16</f>
        <v>0</v>
      </c>
      <c r="J20" s="257"/>
      <c r="M20" s="255"/>
      <c r="N20" s="256"/>
      <c r="O20" s="258"/>
      <c r="P20" s="256" t="s">
        <v>6</v>
      </c>
      <c r="Q20" s="256"/>
      <c r="R20" s="267" t="e">
        <f>-SUM(I122:R122)</f>
        <v>#DIV/0!</v>
      </c>
      <c r="U20" s="266"/>
      <c r="V20" s="268"/>
    </row>
    <row r="21" spans="1:22" ht="14.25" thickBot="1" x14ac:dyDescent="0.3">
      <c r="A21" s="259"/>
      <c r="B21" s="275"/>
      <c r="C21" s="276"/>
      <c r="D21" s="276"/>
      <c r="E21" s="276"/>
      <c r="F21" s="276"/>
      <c r="G21" s="276"/>
      <c r="H21" s="276"/>
      <c r="I21" s="276"/>
      <c r="J21" s="277"/>
      <c r="M21" s="255"/>
      <c r="N21" s="256"/>
      <c r="O21" s="258"/>
      <c r="P21" s="256" t="s">
        <v>134</v>
      </c>
      <c r="Q21" s="256"/>
      <c r="R21" s="267" t="e">
        <f>-SUM(I106:R106)</f>
        <v>#DIV/0!</v>
      </c>
      <c r="U21" s="266"/>
      <c r="V21" s="268"/>
    </row>
    <row r="22" spans="1:22" ht="14.25" thickBot="1" x14ac:dyDescent="0.3">
      <c r="A22" s="259"/>
      <c r="M22" s="255"/>
      <c r="N22" s="256"/>
      <c r="O22" s="258"/>
      <c r="P22" s="256" t="s">
        <v>133</v>
      </c>
      <c r="Q22" s="256"/>
      <c r="R22" s="267" t="e">
        <f>R72</f>
        <v>#DIV/0!</v>
      </c>
      <c r="U22" s="266"/>
      <c r="V22" s="268"/>
    </row>
    <row r="23" spans="1:22" x14ac:dyDescent="0.25">
      <c r="A23" s="259"/>
      <c r="B23" s="251" t="s">
        <v>163</v>
      </c>
      <c r="C23" s="252"/>
      <c r="D23" s="252"/>
      <c r="E23" s="252"/>
      <c r="F23" s="252"/>
      <c r="G23" s="252"/>
      <c r="H23" s="252"/>
      <c r="I23" s="252"/>
      <c r="J23" s="253"/>
      <c r="K23" s="158"/>
      <c r="M23" s="255"/>
      <c r="N23" s="256"/>
      <c r="O23" s="258"/>
      <c r="P23" s="256"/>
      <c r="Q23" s="256"/>
      <c r="R23" s="257"/>
    </row>
    <row r="24" spans="1:22" x14ac:dyDescent="0.25">
      <c r="A24" s="259"/>
      <c r="B24" s="255"/>
      <c r="C24" s="256"/>
      <c r="D24" s="256"/>
      <c r="E24" s="256"/>
      <c r="F24" s="256"/>
      <c r="G24" s="256"/>
      <c r="H24" s="256"/>
      <c r="I24" s="256"/>
      <c r="J24" s="257"/>
      <c r="M24" s="255"/>
      <c r="N24" s="256"/>
      <c r="O24" s="258"/>
      <c r="P24" s="256"/>
      <c r="Q24" s="256"/>
      <c r="R24" s="257"/>
    </row>
    <row r="25" spans="1:22" x14ac:dyDescent="0.25">
      <c r="A25" s="259"/>
      <c r="B25" s="255" t="s">
        <v>161</v>
      </c>
      <c r="C25" s="256"/>
      <c r="D25" s="256"/>
      <c r="E25" s="256"/>
      <c r="F25" s="256"/>
      <c r="G25" s="256"/>
      <c r="H25" s="256"/>
      <c r="I25" s="278" t="e">
        <f>I140</f>
        <v>#DIV/0!</v>
      </c>
      <c r="J25" s="257"/>
      <c r="M25" s="255"/>
      <c r="N25" s="256"/>
      <c r="O25" s="258"/>
      <c r="P25" s="256"/>
      <c r="Q25" s="256"/>
      <c r="R25" s="257"/>
    </row>
    <row r="26" spans="1:22" x14ac:dyDescent="0.25">
      <c r="A26" s="259"/>
      <c r="B26" s="255" t="s">
        <v>162</v>
      </c>
      <c r="C26" s="256"/>
      <c r="D26" s="256"/>
      <c r="E26" s="256"/>
      <c r="F26" s="256"/>
      <c r="G26" s="256"/>
      <c r="H26" s="256"/>
      <c r="I26" s="279" t="e">
        <f>I141</f>
        <v>#DIV/0!</v>
      </c>
      <c r="J26" s="257"/>
      <c r="M26" s="280" t="s">
        <v>138</v>
      </c>
      <c r="N26" s="266" t="e">
        <f>SUM(N9:N21)</f>
        <v>#DIV/0!</v>
      </c>
      <c r="O26" s="258"/>
      <c r="P26" s="281" t="s">
        <v>137</v>
      </c>
      <c r="Q26" s="256"/>
      <c r="R26" s="267" t="e">
        <f>SUM(R9:R22)</f>
        <v>#DIV/0!</v>
      </c>
    </row>
    <row r="27" spans="1:22" ht="14.25" thickBot="1" x14ac:dyDescent="0.3">
      <c r="A27" s="259"/>
      <c r="B27" s="275"/>
      <c r="C27" s="276"/>
      <c r="D27" s="276"/>
      <c r="E27" s="276"/>
      <c r="F27" s="276"/>
      <c r="G27" s="276"/>
      <c r="H27" s="276"/>
      <c r="I27" s="276"/>
      <c r="J27" s="277"/>
      <c r="M27" s="275"/>
      <c r="N27" s="276"/>
      <c r="O27" s="282"/>
      <c r="P27" s="276"/>
      <c r="Q27" s="276"/>
      <c r="R27" s="277"/>
    </row>
    <row r="28" spans="1:22" x14ac:dyDescent="0.25">
      <c r="A28" s="259"/>
    </row>
    <row r="29" spans="1:22" ht="14.25" thickBot="1" x14ac:dyDescent="0.3">
      <c r="A29" s="259"/>
      <c r="E29" s="243"/>
      <c r="I29" s="259" t="s">
        <v>19</v>
      </c>
      <c r="J29" s="259" t="s">
        <v>20</v>
      </c>
      <c r="K29" s="259" t="s">
        <v>21</v>
      </c>
      <c r="L29" s="259" t="s">
        <v>22</v>
      </c>
      <c r="M29" s="259" t="s">
        <v>23</v>
      </c>
      <c r="N29" s="259" t="s">
        <v>24</v>
      </c>
      <c r="O29" s="259" t="s">
        <v>25</v>
      </c>
      <c r="P29" s="259" t="s">
        <v>26</v>
      </c>
      <c r="Q29" s="259" t="s">
        <v>27</v>
      </c>
      <c r="R29" s="259" t="s">
        <v>28</v>
      </c>
    </row>
    <row r="30" spans="1:22" x14ac:dyDescent="0.25">
      <c r="A30" s="259"/>
      <c r="B30" s="251" t="s">
        <v>50</v>
      </c>
      <c r="C30" s="252"/>
      <c r="D30" s="252"/>
      <c r="E30" s="283">
        <v>43190</v>
      </c>
      <c r="F30" s="283">
        <f>EOMONTH(E30,3)</f>
        <v>43281</v>
      </c>
      <c r="G30" s="283">
        <f>EOMONTH(F30,3)</f>
        <v>43373</v>
      </c>
      <c r="H30" s="284">
        <f>EOMONTH(G30,3)</f>
        <v>43465</v>
      </c>
      <c r="I30" s="285">
        <v>43464</v>
      </c>
      <c r="J30" s="285">
        <f>EOMONTH(I30,12)</f>
        <v>43830</v>
      </c>
      <c r="K30" s="285">
        <f t="shared" ref="K30:R30" si="3">EOMONTH(J30,12)</f>
        <v>44196</v>
      </c>
      <c r="L30" s="285">
        <f t="shared" si="3"/>
        <v>44561</v>
      </c>
      <c r="M30" s="285">
        <f t="shared" si="3"/>
        <v>44926</v>
      </c>
      <c r="N30" s="285">
        <f t="shared" si="3"/>
        <v>45291</v>
      </c>
      <c r="O30" s="285">
        <f t="shared" si="3"/>
        <v>45657</v>
      </c>
      <c r="P30" s="285">
        <f t="shared" si="3"/>
        <v>46022</v>
      </c>
      <c r="Q30" s="285">
        <f t="shared" si="3"/>
        <v>46387</v>
      </c>
      <c r="R30" s="286">
        <f t="shared" si="3"/>
        <v>46752</v>
      </c>
    </row>
    <row r="31" spans="1:22" x14ac:dyDescent="0.25">
      <c r="A31" s="259"/>
      <c r="B31" s="255"/>
      <c r="C31" s="256"/>
      <c r="D31" s="256"/>
      <c r="E31" s="256"/>
      <c r="F31" s="256"/>
      <c r="G31" s="256"/>
      <c r="H31" s="258"/>
      <c r="I31" s="256"/>
      <c r="J31" s="256"/>
      <c r="K31" s="256"/>
      <c r="L31" s="256"/>
      <c r="M31" s="256"/>
      <c r="N31" s="256"/>
      <c r="O31" s="256"/>
      <c r="P31" s="256"/>
      <c r="Q31" s="256"/>
      <c r="R31" s="257"/>
    </row>
    <row r="32" spans="1:22" x14ac:dyDescent="0.25">
      <c r="A32" s="259"/>
      <c r="B32" s="280" t="s">
        <v>226</v>
      </c>
      <c r="C32" s="256"/>
      <c r="D32" s="256"/>
      <c r="E32" s="287">
        <v>0.25</v>
      </c>
      <c r="F32" s="287">
        <v>0.75</v>
      </c>
      <c r="G32" s="287">
        <v>0</v>
      </c>
      <c r="H32" s="288">
        <v>0</v>
      </c>
      <c r="I32" s="287">
        <v>1</v>
      </c>
      <c r="J32" s="287">
        <v>0</v>
      </c>
      <c r="K32" s="287">
        <v>0</v>
      </c>
      <c r="L32" s="287">
        <v>0</v>
      </c>
      <c r="M32" s="287">
        <v>0</v>
      </c>
      <c r="N32" s="287">
        <v>0</v>
      </c>
      <c r="O32" s="287">
        <v>0</v>
      </c>
      <c r="P32" s="287">
        <v>0</v>
      </c>
      <c r="Q32" s="287">
        <v>0</v>
      </c>
      <c r="R32" s="289">
        <v>0</v>
      </c>
    </row>
    <row r="33" spans="1:21" x14ac:dyDescent="0.25">
      <c r="A33" s="259"/>
      <c r="B33" s="280" t="s">
        <v>225</v>
      </c>
      <c r="C33" s="256"/>
      <c r="D33" s="256"/>
      <c r="E33" s="287">
        <v>0</v>
      </c>
      <c r="F33" s="287">
        <v>0.25</v>
      </c>
      <c r="G33" s="287">
        <v>0.75</v>
      </c>
      <c r="H33" s="288">
        <v>0</v>
      </c>
      <c r="I33" s="287">
        <v>1</v>
      </c>
      <c r="J33" s="287">
        <v>0</v>
      </c>
      <c r="K33" s="287">
        <v>0</v>
      </c>
      <c r="L33" s="287">
        <v>0</v>
      </c>
      <c r="M33" s="287">
        <v>0</v>
      </c>
      <c r="N33" s="287">
        <v>0</v>
      </c>
      <c r="O33" s="287">
        <v>0</v>
      </c>
      <c r="P33" s="287">
        <v>0</v>
      </c>
      <c r="Q33" s="287">
        <v>0</v>
      </c>
      <c r="R33" s="289">
        <v>0</v>
      </c>
      <c r="S33" s="247"/>
      <c r="T33" s="247"/>
      <c r="U33" s="247"/>
    </row>
    <row r="34" spans="1:21" x14ac:dyDescent="0.25">
      <c r="A34" s="259"/>
      <c r="B34" s="255"/>
      <c r="C34" s="256"/>
      <c r="D34" s="256"/>
      <c r="E34" s="287"/>
      <c r="F34" s="287"/>
      <c r="G34" s="287"/>
      <c r="H34" s="288"/>
      <c r="I34" s="287"/>
      <c r="J34" s="287"/>
      <c r="K34" s="287"/>
      <c r="L34" s="287"/>
      <c r="M34" s="287"/>
      <c r="N34" s="287"/>
      <c r="O34" s="287"/>
      <c r="P34" s="287"/>
      <c r="Q34" s="287"/>
      <c r="R34" s="289"/>
      <c r="S34" s="247"/>
      <c r="T34" s="247"/>
      <c r="U34" s="247"/>
    </row>
    <row r="35" spans="1:21" x14ac:dyDescent="0.25">
      <c r="A35" s="259"/>
      <c r="B35" s="280" t="s">
        <v>32</v>
      </c>
      <c r="C35" s="256" t="s">
        <v>16</v>
      </c>
      <c r="D35" s="256"/>
      <c r="E35" s="290" t="e">
        <f>ROUNDDOWN(E$32*HLOOKUP($C35,'Unit Economics'!$A$4:$F$161, 'Unit Economics'!$A$33, FALSE), 0)</f>
        <v>#DIV/0!</v>
      </c>
      <c r="F35" s="290" t="e">
        <f>ROUNDUP(F$32*HLOOKUP($C38,'Unit Economics'!$A$4:$F$161, 'Unit Economics'!$A$33, FALSE), 0) + E35</f>
        <v>#DIV/0!</v>
      </c>
      <c r="G35" s="290" t="e">
        <f>ROUNDUP(G$32*HLOOKUP($C38,'Unit Economics'!$A$4:$F$161, 'Unit Economics'!$A$33, FALSE), 0)  + F35</f>
        <v>#DIV/0!</v>
      </c>
      <c r="H35" s="291" t="e">
        <f>ROUNDUP(H$32*HLOOKUP($C35,'Unit Economics'!$A$4:$F$161, 'Unit Economics'!$A$33, FALSE), 0)  + G35</f>
        <v>#DIV/0!</v>
      </c>
      <c r="I35" s="290" t="e">
        <f>H35</f>
        <v>#DIV/0!</v>
      </c>
      <c r="J35" s="290" t="e">
        <f>H35</f>
        <v>#DIV/0!</v>
      </c>
      <c r="K35" s="290" t="e">
        <f>J35</f>
        <v>#DIV/0!</v>
      </c>
      <c r="L35" s="290" t="e">
        <f t="shared" ref="L35:R35" si="4">K35</f>
        <v>#DIV/0!</v>
      </c>
      <c r="M35" s="290" t="e">
        <f t="shared" si="4"/>
        <v>#DIV/0!</v>
      </c>
      <c r="N35" s="290" t="e">
        <f t="shared" si="4"/>
        <v>#DIV/0!</v>
      </c>
      <c r="O35" s="290" t="e">
        <f t="shared" si="4"/>
        <v>#DIV/0!</v>
      </c>
      <c r="P35" s="290" t="e">
        <f t="shared" si="4"/>
        <v>#DIV/0!</v>
      </c>
      <c r="Q35" s="290" t="e">
        <f t="shared" si="4"/>
        <v>#DIV/0!</v>
      </c>
      <c r="R35" s="292" t="e">
        <f t="shared" si="4"/>
        <v>#DIV/0!</v>
      </c>
      <c r="S35" s="247"/>
      <c r="T35" s="247"/>
      <c r="U35" s="247"/>
    </row>
    <row r="36" spans="1:21" x14ac:dyDescent="0.25">
      <c r="A36" s="259"/>
      <c r="B36" s="255"/>
      <c r="C36" s="256" t="str">
        <f>'Unit Economics'!$F$4</f>
        <v>Tier II &amp; Tier III</v>
      </c>
      <c r="D36" s="256"/>
      <c r="E36" s="290" t="e">
        <f>E$33*HLOOKUP($C36,'Unit Economics'!$A$4:$F$161, 'Unit Economics'!$A$33, FALSE)</f>
        <v>#DIV/0!</v>
      </c>
      <c r="F36" s="290" t="e">
        <f>ROUNDUP(F$33*HLOOKUP($C39,'Unit Economics'!$A$4:$F$161, 'Unit Economics'!$A$33, FALSE), 0) + E36</f>
        <v>#DIV/0!</v>
      </c>
      <c r="G36" s="290" t="e">
        <f>ROUNDUP(G$33*HLOOKUP($C39,'Unit Economics'!$A$4:$F$161, 'Unit Economics'!$A$33, FALSE), 0)  + F36</f>
        <v>#DIV/0!</v>
      </c>
      <c r="H36" s="291" t="e">
        <f>ROUNDUP(H$33*HLOOKUP($C36,'Unit Economics'!$A$4:$F$161, 'Unit Economics'!$A$33, FALSE), 0)  + G36</f>
        <v>#DIV/0!</v>
      </c>
      <c r="I36" s="290" t="e">
        <f>H36</f>
        <v>#DIV/0!</v>
      </c>
      <c r="J36" s="290" t="e">
        <f>H36</f>
        <v>#DIV/0!</v>
      </c>
      <c r="K36" s="290" t="e">
        <f t="shared" ref="K36:R36" si="5">J36</f>
        <v>#DIV/0!</v>
      </c>
      <c r="L36" s="290" t="e">
        <f t="shared" si="5"/>
        <v>#DIV/0!</v>
      </c>
      <c r="M36" s="290" t="e">
        <f t="shared" si="5"/>
        <v>#DIV/0!</v>
      </c>
      <c r="N36" s="290" t="e">
        <f t="shared" si="5"/>
        <v>#DIV/0!</v>
      </c>
      <c r="O36" s="290" t="e">
        <f t="shared" si="5"/>
        <v>#DIV/0!</v>
      </c>
      <c r="P36" s="290" t="e">
        <f t="shared" si="5"/>
        <v>#DIV/0!</v>
      </c>
      <c r="Q36" s="290" t="e">
        <f t="shared" si="5"/>
        <v>#DIV/0!</v>
      </c>
      <c r="R36" s="292" t="e">
        <f t="shared" si="5"/>
        <v>#DIV/0!</v>
      </c>
      <c r="S36" s="247"/>
      <c r="T36" s="247"/>
      <c r="U36" s="247"/>
    </row>
    <row r="37" spans="1:21" x14ac:dyDescent="0.25">
      <c r="A37" s="259"/>
      <c r="B37" s="255"/>
      <c r="C37" s="256"/>
      <c r="D37" s="256"/>
      <c r="E37" s="256"/>
      <c r="F37" s="256"/>
      <c r="G37" s="256"/>
      <c r="H37" s="258"/>
      <c r="I37" s="256"/>
      <c r="J37" s="256"/>
      <c r="K37" s="256"/>
      <c r="L37" s="256"/>
      <c r="M37" s="256"/>
      <c r="N37" s="256"/>
      <c r="O37" s="256"/>
      <c r="P37" s="256"/>
      <c r="Q37" s="256"/>
      <c r="R37" s="257"/>
      <c r="S37" s="247"/>
      <c r="T37" s="247"/>
      <c r="U37" s="247"/>
    </row>
    <row r="38" spans="1:21" x14ac:dyDescent="0.25">
      <c r="A38" s="259"/>
      <c r="B38" s="280" t="s">
        <v>34</v>
      </c>
      <c r="C38" s="256" t="s">
        <v>16</v>
      </c>
      <c r="D38" s="166"/>
      <c r="E38" s="293" t="e">
        <f>E35*HLOOKUP($C38,'Unit Economics'!$A$4:$F$161, 'Unit Economics'!$A$47, FALSE) * 3</f>
        <v>#DIV/0!</v>
      </c>
      <c r="F38" s="293" t="e">
        <f>F35*HLOOKUP($C38,'Unit Economics'!$A$4:$F$161, 'Unit Economics'!$A$47, FALSE) * 3</f>
        <v>#DIV/0!</v>
      </c>
      <c r="G38" s="293" t="e">
        <f>G35*HLOOKUP($C38,'Unit Economics'!$A$4:$F$161, 'Unit Economics'!$A$47, FALSE) * 3</f>
        <v>#DIV/0!</v>
      </c>
      <c r="H38" s="294" t="e">
        <f>H35*HLOOKUP($C38,'Unit Economics'!$A$4:$F$161, 'Unit Economics'!$A$47, FALSE) * 3</f>
        <v>#DIV/0!</v>
      </c>
      <c r="I38" s="293" t="e">
        <f>SUM(E38:H38)</f>
        <v>#DIV/0!</v>
      </c>
      <c r="J38" s="293" t="e">
        <f>H38*4</f>
        <v>#DIV/0!</v>
      </c>
      <c r="K38" s="293" t="e">
        <f>J38 * (1+$I$13)</f>
        <v>#DIV/0!</v>
      </c>
      <c r="L38" s="293" t="e">
        <f>K38</f>
        <v>#DIV/0!</v>
      </c>
      <c r="M38" s="293" t="e">
        <f>L38 * (1+$I$13)</f>
        <v>#DIV/0!</v>
      </c>
      <c r="N38" s="293" t="e">
        <f>M38</f>
        <v>#DIV/0!</v>
      </c>
      <c r="O38" s="293" t="e">
        <f>N38 * (1+$I$13)</f>
        <v>#DIV/0!</v>
      </c>
      <c r="P38" s="293" t="e">
        <f>O38</f>
        <v>#DIV/0!</v>
      </c>
      <c r="Q38" s="293" t="e">
        <f>P38 * (1+$I$13)</f>
        <v>#DIV/0!</v>
      </c>
      <c r="R38" s="295" t="e">
        <f>Q38</f>
        <v>#DIV/0!</v>
      </c>
      <c r="S38" s="247"/>
      <c r="T38" s="247"/>
      <c r="U38" s="247"/>
    </row>
    <row r="39" spans="1:21" x14ac:dyDescent="0.25">
      <c r="A39" s="259"/>
      <c r="B39" s="255"/>
      <c r="C39" s="296" t="s">
        <v>222</v>
      </c>
      <c r="D39" s="296"/>
      <c r="E39" s="297" t="e">
        <f>E36*HLOOKUP($C39,'Unit Economics'!$A$4:$F$161, 'Unit Economics'!$A$47, FALSE) * 3</f>
        <v>#DIV/0!</v>
      </c>
      <c r="F39" s="297" t="e">
        <f>F36*HLOOKUP($C39,'Unit Economics'!$A$4:$F$161, 'Unit Economics'!$A$47, FALSE) * 3</f>
        <v>#DIV/0!</v>
      </c>
      <c r="G39" s="297" t="e">
        <f>G36*HLOOKUP($C39,'Unit Economics'!$A$4:$F$161, 'Unit Economics'!$A$47, FALSE) * 3</f>
        <v>#DIV/0!</v>
      </c>
      <c r="H39" s="298" t="e">
        <f>H36*HLOOKUP($C39,'Unit Economics'!$A$4:$F$161, 'Unit Economics'!$A$47, FALSE) * 3</f>
        <v>#DIV/0!</v>
      </c>
      <c r="I39" s="297" t="e">
        <f>SUM(E39:H39)</f>
        <v>#DIV/0!</v>
      </c>
      <c r="J39" s="297" t="e">
        <f>H39*4</f>
        <v>#DIV/0!</v>
      </c>
      <c r="K39" s="297" t="e">
        <f>J39 * (1+$I$13)</f>
        <v>#DIV/0!</v>
      </c>
      <c r="L39" s="297" t="e">
        <f>K39</f>
        <v>#DIV/0!</v>
      </c>
      <c r="M39" s="297" t="e">
        <f>L39 * (1+$I$13)</f>
        <v>#DIV/0!</v>
      </c>
      <c r="N39" s="297" t="e">
        <f t="shared" ref="N39:P39" si="6">M39</f>
        <v>#DIV/0!</v>
      </c>
      <c r="O39" s="297" t="e">
        <f>N39 * (1+$I$13)</f>
        <v>#DIV/0!</v>
      </c>
      <c r="P39" s="297" t="e">
        <f t="shared" si="6"/>
        <v>#DIV/0!</v>
      </c>
      <c r="Q39" s="297" t="e">
        <f>P39 * (1+$I$13)</f>
        <v>#DIV/0!</v>
      </c>
      <c r="R39" s="299" t="e">
        <f>Q39</f>
        <v>#DIV/0!</v>
      </c>
      <c r="S39" s="247"/>
      <c r="T39" s="247"/>
      <c r="U39" s="247"/>
    </row>
    <row r="40" spans="1:21" x14ac:dyDescent="0.25">
      <c r="A40" s="259"/>
      <c r="B40" s="255"/>
      <c r="C40" s="256" t="s">
        <v>2</v>
      </c>
      <c r="D40" s="256"/>
      <c r="E40" s="266" t="e">
        <f t="shared" ref="E40:R40" si="7">SUM(E38:E39)</f>
        <v>#DIV/0!</v>
      </c>
      <c r="F40" s="266" t="e">
        <f t="shared" si="7"/>
        <v>#DIV/0!</v>
      </c>
      <c r="G40" s="266" t="e">
        <f t="shared" si="7"/>
        <v>#DIV/0!</v>
      </c>
      <c r="H40" s="300" t="e">
        <f t="shared" si="7"/>
        <v>#DIV/0!</v>
      </c>
      <c r="I40" s="266" t="e">
        <f t="shared" si="7"/>
        <v>#DIV/0!</v>
      </c>
      <c r="J40" s="266" t="e">
        <f t="shared" si="7"/>
        <v>#DIV/0!</v>
      </c>
      <c r="K40" s="266" t="e">
        <f t="shared" si="7"/>
        <v>#DIV/0!</v>
      </c>
      <c r="L40" s="266" t="e">
        <f t="shared" si="7"/>
        <v>#DIV/0!</v>
      </c>
      <c r="M40" s="266" t="e">
        <f t="shared" si="7"/>
        <v>#DIV/0!</v>
      </c>
      <c r="N40" s="266" t="e">
        <f t="shared" si="7"/>
        <v>#DIV/0!</v>
      </c>
      <c r="O40" s="266" t="e">
        <f t="shared" si="7"/>
        <v>#DIV/0!</v>
      </c>
      <c r="P40" s="266" t="e">
        <f t="shared" si="7"/>
        <v>#DIV/0!</v>
      </c>
      <c r="Q40" s="266" t="e">
        <f t="shared" si="7"/>
        <v>#DIV/0!</v>
      </c>
      <c r="R40" s="267" t="e">
        <f t="shared" si="7"/>
        <v>#DIV/0!</v>
      </c>
      <c r="S40" s="247"/>
      <c r="T40" s="247"/>
      <c r="U40" s="247"/>
    </row>
    <row r="41" spans="1:21" x14ac:dyDescent="0.25">
      <c r="A41" s="259"/>
      <c r="B41" s="255"/>
      <c r="C41" s="256"/>
      <c r="D41" s="256"/>
      <c r="E41" s="266"/>
      <c r="F41" s="266"/>
      <c r="G41" s="266"/>
      <c r="H41" s="300"/>
      <c r="I41" s="266"/>
      <c r="J41" s="266"/>
      <c r="K41" s="266"/>
      <c r="L41" s="266"/>
      <c r="M41" s="266"/>
      <c r="N41" s="266"/>
      <c r="O41" s="266"/>
      <c r="P41" s="266"/>
      <c r="Q41" s="266"/>
      <c r="R41" s="267"/>
      <c r="S41" s="247"/>
      <c r="T41" s="247"/>
      <c r="U41" s="247"/>
    </row>
    <row r="42" spans="1:21" x14ac:dyDescent="0.25">
      <c r="A42" s="259"/>
      <c r="B42" s="280"/>
      <c r="C42" s="256" t="s">
        <v>33</v>
      </c>
      <c r="D42" s="256"/>
      <c r="E42" s="266">
        <v>0</v>
      </c>
      <c r="F42" s="266">
        <v>0</v>
      </c>
      <c r="G42" s="266">
        <v>0</v>
      </c>
      <c r="H42" s="300">
        <v>0</v>
      </c>
      <c r="I42" s="266">
        <v>0</v>
      </c>
      <c r="J42" s="266">
        <v>0</v>
      </c>
      <c r="K42" s="266">
        <v>0</v>
      </c>
      <c r="L42" s="266">
        <v>0</v>
      </c>
      <c r="M42" s="266">
        <v>0</v>
      </c>
      <c r="N42" s="266">
        <v>0</v>
      </c>
      <c r="O42" s="266">
        <v>0</v>
      </c>
      <c r="P42" s="266">
        <v>0</v>
      </c>
      <c r="Q42" s="266">
        <v>0</v>
      </c>
      <c r="R42" s="267">
        <v>0</v>
      </c>
      <c r="S42" s="247"/>
      <c r="T42" s="247"/>
      <c r="U42" s="247"/>
    </row>
    <row r="43" spans="1:21" x14ac:dyDescent="0.25">
      <c r="A43" s="259"/>
      <c r="B43" s="255"/>
      <c r="C43" s="256"/>
      <c r="D43" s="256"/>
      <c r="E43" s="266"/>
      <c r="F43" s="266"/>
      <c r="G43" s="266"/>
      <c r="H43" s="300"/>
      <c r="I43" s="266"/>
      <c r="J43" s="266"/>
      <c r="K43" s="266"/>
      <c r="L43" s="266"/>
      <c r="M43" s="266"/>
      <c r="N43" s="266"/>
      <c r="O43" s="266"/>
      <c r="P43" s="266"/>
      <c r="Q43" s="266"/>
      <c r="R43" s="267"/>
      <c r="S43" s="247"/>
      <c r="T43" s="247"/>
      <c r="U43" s="247"/>
    </row>
    <row r="44" spans="1:21" ht="14.25" thickBot="1" x14ac:dyDescent="0.3">
      <c r="A44" s="259"/>
      <c r="B44" s="301" t="s">
        <v>35</v>
      </c>
      <c r="C44" s="302"/>
      <c r="D44" s="302"/>
      <c r="E44" s="303" t="e">
        <f>E40+E42</f>
        <v>#DIV/0!</v>
      </c>
      <c r="F44" s="303" t="e">
        <f t="shared" ref="F44:R44" si="8">F40+F42</f>
        <v>#DIV/0!</v>
      </c>
      <c r="G44" s="303" t="e">
        <f t="shared" si="8"/>
        <v>#DIV/0!</v>
      </c>
      <c r="H44" s="304" t="e">
        <f t="shared" si="8"/>
        <v>#DIV/0!</v>
      </c>
      <c r="I44" s="303" t="e">
        <f t="shared" si="8"/>
        <v>#DIV/0!</v>
      </c>
      <c r="J44" s="303" t="e">
        <f t="shared" si="8"/>
        <v>#DIV/0!</v>
      </c>
      <c r="K44" s="303" t="e">
        <f t="shared" si="8"/>
        <v>#DIV/0!</v>
      </c>
      <c r="L44" s="303" t="e">
        <f t="shared" si="8"/>
        <v>#DIV/0!</v>
      </c>
      <c r="M44" s="303" t="e">
        <f t="shared" si="8"/>
        <v>#DIV/0!</v>
      </c>
      <c r="N44" s="303" t="e">
        <f t="shared" si="8"/>
        <v>#DIV/0!</v>
      </c>
      <c r="O44" s="303" t="e">
        <f t="shared" si="8"/>
        <v>#DIV/0!</v>
      </c>
      <c r="P44" s="303" t="e">
        <f t="shared" si="8"/>
        <v>#DIV/0!</v>
      </c>
      <c r="Q44" s="303" t="e">
        <f t="shared" si="8"/>
        <v>#DIV/0!</v>
      </c>
      <c r="R44" s="305" t="e">
        <f t="shared" si="8"/>
        <v>#DIV/0!</v>
      </c>
      <c r="S44" s="247"/>
      <c r="T44" s="247"/>
      <c r="U44" s="247"/>
    </row>
    <row r="45" spans="1:21" ht="14.25" thickTop="1" x14ac:dyDescent="0.25">
      <c r="A45" s="259"/>
      <c r="B45" s="255"/>
      <c r="C45" s="256"/>
      <c r="D45" s="256"/>
      <c r="E45" s="266"/>
      <c r="F45" s="266"/>
      <c r="G45" s="266"/>
      <c r="H45" s="300"/>
      <c r="I45" s="266"/>
      <c r="J45" s="266"/>
      <c r="K45" s="266"/>
      <c r="L45" s="266"/>
      <c r="M45" s="266"/>
      <c r="N45" s="266"/>
      <c r="O45" s="266"/>
      <c r="P45" s="266"/>
      <c r="Q45" s="266"/>
      <c r="R45" s="267"/>
      <c r="S45" s="247"/>
      <c r="T45" s="247"/>
      <c r="U45" s="247"/>
    </row>
    <row r="46" spans="1:21" x14ac:dyDescent="0.25">
      <c r="A46" s="259"/>
      <c r="B46" s="280" t="s">
        <v>36</v>
      </c>
      <c r="C46" s="256" t="s">
        <v>151</v>
      </c>
      <c r="D46" s="256"/>
      <c r="E46" s="287">
        <v>1</v>
      </c>
      <c r="F46" s="287">
        <v>1</v>
      </c>
      <c r="G46" s="287">
        <v>0.75</v>
      </c>
      <c r="H46" s="288">
        <v>0.5</v>
      </c>
      <c r="I46" s="287">
        <f>AVERAGE(E46:H46)</f>
        <v>0.8125</v>
      </c>
      <c r="J46" s="287">
        <v>0.25</v>
      </c>
      <c r="K46" s="287">
        <v>0.25</v>
      </c>
      <c r="L46" s="287">
        <v>0.25</v>
      </c>
      <c r="M46" s="287">
        <v>0.25</v>
      </c>
      <c r="N46" s="287">
        <v>0.25</v>
      </c>
      <c r="O46" s="287">
        <v>0.25</v>
      </c>
      <c r="P46" s="287">
        <v>0.25</v>
      </c>
      <c r="Q46" s="287">
        <v>0.25</v>
      </c>
      <c r="R46" s="289">
        <v>0.25</v>
      </c>
      <c r="S46" s="247"/>
      <c r="T46" s="247"/>
      <c r="U46" s="247"/>
    </row>
    <row r="47" spans="1:21" x14ac:dyDescent="0.25">
      <c r="A47" s="259"/>
      <c r="B47" s="280"/>
      <c r="C47" s="256" t="s">
        <v>39</v>
      </c>
      <c r="D47" s="256"/>
      <c r="E47" s="266" t="e">
        <f xml:space="preserve"> -HLOOKUP($C38, 'Unit Economics'!$A$4:$F$161, 'Unit Economics'!$A50, FALSE) * E$40 * E$46</f>
        <v>#DIV/0!</v>
      </c>
      <c r="F47" s="266" t="e">
        <f xml:space="preserve"> -HLOOKUP($C38, 'Unit Economics'!$A$4:$F$161, 'Unit Economics'!$A50, FALSE) * F$40 * F$46</f>
        <v>#DIV/0!</v>
      </c>
      <c r="G47" s="266" t="e">
        <f xml:space="preserve"> -HLOOKUP($C38, 'Unit Economics'!$A$4:$F$161, 'Unit Economics'!$A50, FALSE) * G$40 * G$46</f>
        <v>#DIV/0!</v>
      </c>
      <c r="H47" s="300" t="e">
        <f xml:space="preserve"> -HLOOKUP($C38, 'Unit Economics'!$A$4:$F$161, 'Unit Economics'!$A50, FALSE) * H$40 * H$46</f>
        <v>#DIV/0!</v>
      </c>
      <c r="I47" s="266" t="e">
        <f xml:space="preserve"> -HLOOKUP($C38, 'Unit Economics'!$A$4:$F$161, 'Unit Economics'!$A50, FALSE) * I$40 * I$46</f>
        <v>#DIV/0!</v>
      </c>
      <c r="J47" s="266" t="e">
        <f xml:space="preserve"> -HLOOKUP($C38, 'Unit Economics'!$A$4:$F$161, 'Unit Economics'!$A50, FALSE) * J$40 * J$46</f>
        <v>#DIV/0!</v>
      </c>
      <c r="K47" s="266" t="e">
        <f xml:space="preserve"> -HLOOKUP($C38, 'Unit Economics'!$A$4:$F$161, 'Unit Economics'!$A50, FALSE) * K$40 * K$46</f>
        <v>#DIV/0!</v>
      </c>
      <c r="L47" s="266" t="e">
        <f xml:space="preserve"> -HLOOKUP($C38, 'Unit Economics'!$A$4:$F$161, 'Unit Economics'!$A50, FALSE) * L$40 * L$46</f>
        <v>#DIV/0!</v>
      </c>
      <c r="M47" s="266" t="e">
        <f xml:space="preserve"> -HLOOKUP($C38, 'Unit Economics'!$A$4:$F$161, 'Unit Economics'!$A50, FALSE) * M$40 * M$46</f>
        <v>#DIV/0!</v>
      </c>
      <c r="N47" s="266" t="e">
        <f xml:space="preserve"> -HLOOKUP($C38, 'Unit Economics'!$A$4:$F$161, 'Unit Economics'!$A50, FALSE) * N$40 * N$46</f>
        <v>#DIV/0!</v>
      </c>
      <c r="O47" s="266" t="e">
        <f xml:space="preserve"> -HLOOKUP($C38, 'Unit Economics'!$A$4:$F$161, 'Unit Economics'!$A50, FALSE) * O$40 * O$46</f>
        <v>#DIV/0!</v>
      </c>
      <c r="P47" s="266" t="e">
        <f xml:space="preserve"> -HLOOKUP($C38, 'Unit Economics'!$A$4:$F$161, 'Unit Economics'!$A50, FALSE) * P$40 * P$46</f>
        <v>#DIV/0!</v>
      </c>
      <c r="Q47" s="266" t="e">
        <f xml:space="preserve"> -HLOOKUP($C38, 'Unit Economics'!$A$4:$F$161, 'Unit Economics'!$A50, FALSE) * Q$40 * Q$46</f>
        <v>#DIV/0!</v>
      </c>
      <c r="R47" s="267" t="e">
        <f xml:space="preserve"> -HLOOKUP($C38, 'Unit Economics'!$A$4:$F$161, 'Unit Economics'!$A50, FALSE) * R$40 * R$46</f>
        <v>#DIV/0!</v>
      </c>
      <c r="S47" s="247"/>
      <c r="T47" s="247"/>
      <c r="U47" s="247"/>
    </row>
    <row r="48" spans="1:21" x14ac:dyDescent="0.25">
      <c r="A48" s="259"/>
      <c r="B48" s="255"/>
      <c r="C48" s="256" t="s">
        <v>38</v>
      </c>
      <c r="D48" s="256"/>
      <c r="E48" s="266" t="e">
        <f xml:space="preserve"> -HLOOKUP($C38, 'Unit Economics'!$A$4:$F$161, 'Unit Economics'!$A52, FALSE) * E$40</f>
        <v>#DIV/0!</v>
      </c>
      <c r="F48" s="266" t="e">
        <f xml:space="preserve"> -HLOOKUP($C38, 'Unit Economics'!$A$4:$F$161, 'Unit Economics'!$A52, FALSE) * F$40</f>
        <v>#DIV/0!</v>
      </c>
      <c r="G48" s="266" t="e">
        <f xml:space="preserve"> -HLOOKUP($C38, 'Unit Economics'!$A$4:$F$161, 'Unit Economics'!$A52, FALSE) * G$40</f>
        <v>#DIV/0!</v>
      </c>
      <c r="H48" s="300" t="e">
        <f xml:space="preserve"> -HLOOKUP($C38, 'Unit Economics'!$A$4:$F$161, 'Unit Economics'!$A52, FALSE) * H$40</f>
        <v>#DIV/0!</v>
      </c>
      <c r="I48" s="266" t="e">
        <f>SUM(E48:H48)</f>
        <v>#DIV/0!</v>
      </c>
      <c r="J48" s="266" t="e">
        <f xml:space="preserve"> -HLOOKUP($C38, 'Unit Economics'!$A$4:$F$161, 'Unit Economics'!$A52, FALSE) * J$40</f>
        <v>#DIV/0!</v>
      </c>
      <c r="K48" s="266" t="e">
        <f xml:space="preserve"> -HLOOKUP($C38, 'Unit Economics'!$A$4:$F$161, 'Unit Economics'!$A52, FALSE) * K$40</f>
        <v>#DIV/0!</v>
      </c>
      <c r="L48" s="266" t="e">
        <f xml:space="preserve"> -HLOOKUP($C38, 'Unit Economics'!$A$4:$F$161, 'Unit Economics'!$A52, FALSE) * L$40</f>
        <v>#DIV/0!</v>
      </c>
      <c r="M48" s="266" t="e">
        <f xml:space="preserve"> -HLOOKUP($C38, 'Unit Economics'!$A$4:$F$161, 'Unit Economics'!$A52, FALSE) * M$40</f>
        <v>#DIV/0!</v>
      </c>
      <c r="N48" s="266" t="e">
        <f xml:space="preserve"> -HLOOKUP($C38, 'Unit Economics'!$A$4:$F$161, 'Unit Economics'!$A52, FALSE) * N$40</f>
        <v>#DIV/0!</v>
      </c>
      <c r="O48" s="266" t="e">
        <f xml:space="preserve"> -HLOOKUP($C38, 'Unit Economics'!$A$4:$F$161, 'Unit Economics'!$A52, FALSE) * O$40</f>
        <v>#DIV/0!</v>
      </c>
      <c r="P48" s="266" t="e">
        <f xml:space="preserve"> -HLOOKUP($C38, 'Unit Economics'!$A$4:$F$161, 'Unit Economics'!$A52, FALSE) * P$40</f>
        <v>#DIV/0!</v>
      </c>
      <c r="Q48" s="266" t="e">
        <f xml:space="preserve"> -HLOOKUP($C38, 'Unit Economics'!$A$4:$F$161, 'Unit Economics'!$A52, FALSE) * Q$40</f>
        <v>#DIV/0!</v>
      </c>
      <c r="R48" s="267" t="e">
        <f xml:space="preserve"> -HLOOKUP($C38, 'Unit Economics'!$A$4:$F$161, 'Unit Economics'!$A52, FALSE) * R$40</f>
        <v>#DIV/0!</v>
      </c>
      <c r="S48" s="247"/>
      <c r="T48" s="247"/>
      <c r="U48" s="247"/>
    </row>
    <row r="49" spans="1:21" x14ac:dyDescent="0.25">
      <c r="A49" s="259"/>
      <c r="B49" s="255"/>
      <c r="C49" s="256" t="s">
        <v>227</v>
      </c>
      <c r="D49" s="256"/>
      <c r="E49" s="266" t="e">
        <f xml:space="preserve"> -HLOOKUP($C38, 'Unit Economics'!$A$4:$F$161, 'Unit Economics'!$A53, FALSE) * E$40</f>
        <v>#DIV/0!</v>
      </c>
      <c r="F49" s="266" t="e">
        <f xml:space="preserve"> -HLOOKUP($C38, 'Unit Economics'!$A$4:$F$161, 'Unit Economics'!$A53, FALSE) * F$40</f>
        <v>#DIV/0!</v>
      </c>
      <c r="G49" s="266" t="e">
        <f xml:space="preserve"> -HLOOKUP($C38, 'Unit Economics'!$A$4:$F$161, 'Unit Economics'!$A53, FALSE) * G$40</f>
        <v>#DIV/0!</v>
      </c>
      <c r="H49" s="300" t="e">
        <f xml:space="preserve"> -HLOOKUP($C38, 'Unit Economics'!$A$4:$F$161, 'Unit Economics'!$A53, FALSE) * H$40</f>
        <v>#DIV/0!</v>
      </c>
      <c r="I49" s="266" t="e">
        <f>SUM(E49:H49)</f>
        <v>#DIV/0!</v>
      </c>
      <c r="J49" s="266" t="e">
        <f xml:space="preserve"> -HLOOKUP($C38, 'Unit Economics'!$A$4:$F$161, 'Unit Economics'!$A53, FALSE) * J$40</f>
        <v>#DIV/0!</v>
      </c>
      <c r="K49" s="266" t="e">
        <f xml:space="preserve"> -HLOOKUP($C38, 'Unit Economics'!$A$4:$F$161, 'Unit Economics'!$A53, FALSE) * K$40</f>
        <v>#DIV/0!</v>
      </c>
      <c r="L49" s="266" t="e">
        <f xml:space="preserve"> -HLOOKUP($C38, 'Unit Economics'!$A$4:$F$161, 'Unit Economics'!$A53, FALSE) * L$40</f>
        <v>#DIV/0!</v>
      </c>
      <c r="M49" s="266" t="e">
        <f xml:space="preserve"> -HLOOKUP($C38, 'Unit Economics'!$A$4:$F$161, 'Unit Economics'!$A53, FALSE) * M$40</f>
        <v>#DIV/0!</v>
      </c>
      <c r="N49" s="266" t="e">
        <f xml:space="preserve"> -HLOOKUP($C38, 'Unit Economics'!$A$4:$F$161, 'Unit Economics'!$A53, FALSE) * N$40</f>
        <v>#DIV/0!</v>
      </c>
      <c r="O49" s="266" t="e">
        <f xml:space="preserve"> -HLOOKUP($C38, 'Unit Economics'!$A$4:$F$161, 'Unit Economics'!$A53, FALSE) * O$40</f>
        <v>#DIV/0!</v>
      </c>
      <c r="P49" s="266" t="e">
        <f xml:space="preserve"> -HLOOKUP($C38, 'Unit Economics'!$A$4:$F$161, 'Unit Economics'!$A53, FALSE) * P$40</f>
        <v>#DIV/0!</v>
      </c>
      <c r="Q49" s="266" t="e">
        <f xml:space="preserve"> -HLOOKUP($C38, 'Unit Economics'!$A$4:$F$161, 'Unit Economics'!$A53, FALSE) * Q$40</f>
        <v>#DIV/0!</v>
      </c>
      <c r="R49" s="267" t="e">
        <f xml:space="preserve"> -HLOOKUP($C38, 'Unit Economics'!$A$4:$F$161, 'Unit Economics'!$A53, FALSE) * R$40</f>
        <v>#DIV/0!</v>
      </c>
      <c r="S49" s="247"/>
      <c r="T49" s="247"/>
      <c r="U49" s="247"/>
    </row>
    <row r="50" spans="1:21" x14ac:dyDescent="0.25">
      <c r="A50" s="259"/>
      <c r="B50" s="255"/>
      <c r="C50" s="256" t="s">
        <v>42</v>
      </c>
      <c r="D50" s="256"/>
      <c r="E50" s="266" t="e">
        <f xml:space="preserve"> (HLOOKUP($C195, 'Unit Economics'!$A$4:$F$161, 'Unit Economics'!$A54, FALSE) * (E$197 + E$199))/4</f>
        <v>#DIV/0!</v>
      </c>
      <c r="F50" s="266" t="e">
        <f xml:space="preserve"> (HLOOKUP($C195, 'Unit Economics'!$A$4:$F$161, 'Unit Economics'!$A54, FALSE) * (F$197 + F$199))/4</f>
        <v>#DIV/0!</v>
      </c>
      <c r="G50" s="266" t="e">
        <f>F50</f>
        <v>#DIV/0!</v>
      </c>
      <c r="H50" s="300" t="e">
        <f>G50</f>
        <v>#DIV/0!</v>
      </c>
      <c r="I50" s="266" t="e">
        <f>SUM(E50:H50)</f>
        <v>#DIV/0!</v>
      </c>
      <c r="J50" s="266" t="e">
        <f>$H$50*4</f>
        <v>#DIV/0!</v>
      </c>
      <c r="K50" s="266" t="e">
        <f t="shared" ref="K50:R50" si="9">$H$50*4</f>
        <v>#DIV/0!</v>
      </c>
      <c r="L50" s="266" t="e">
        <f t="shared" si="9"/>
        <v>#DIV/0!</v>
      </c>
      <c r="M50" s="266" t="e">
        <f t="shared" si="9"/>
        <v>#DIV/0!</v>
      </c>
      <c r="N50" s="266" t="e">
        <f t="shared" si="9"/>
        <v>#DIV/0!</v>
      </c>
      <c r="O50" s="266" t="e">
        <f t="shared" si="9"/>
        <v>#DIV/0!</v>
      </c>
      <c r="P50" s="266" t="e">
        <f t="shared" si="9"/>
        <v>#DIV/0!</v>
      </c>
      <c r="Q50" s="266" t="e">
        <f t="shared" si="9"/>
        <v>#DIV/0!</v>
      </c>
      <c r="R50" s="267" t="e">
        <f t="shared" si="9"/>
        <v>#DIV/0!</v>
      </c>
      <c r="S50" s="247"/>
      <c r="T50" s="247"/>
      <c r="U50" s="247"/>
    </row>
    <row r="51" spans="1:21" x14ac:dyDescent="0.25">
      <c r="A51" s="259"/>
      <c r="B51" s="255"/>
      <c r="C51" s="256"/>
      <c r="D51" s="256"/>
      <c r="E51" s="266"/>
      <c r="F51" s="266"/>
      <c r="G51" s="266"/>
      <c r="H51" s="300"/>
      <c r="I51" s="266"/>
      <c r="J51" s="266"/>
      <c r="K51" s="266"/>
      <c r="L51" s="266"/>
      <c r="M51" s="266"/>
      <c r="N51" s="266"/>
      <c r="O51" s="266"/>
      <c r="P51" s="266"/>
      <c r="Q51" s="266"/>
      <c r="R51" s="267"/>
      <c r="S51" s="247"/>
      <c r="T51" s="247"/>
      <c r="U51" s="247"/>
    </row>
    <row r="52" spans="1:21" ht="14.25" thickBot="1" x14ac:dyDescent="0.3">
      <c r="A52" s="259"/>
      <c r="B52" s="301" t="s">
        <v>45</v>
      </c>
      <c r="C52" s="302"/>
      <c r="D52" s="302"/>
      <c r="E52" s="303" t="e">
        <f t="shared" ref="E52:R52" si="10">SUM(E44,E47:E50)</f>
        <v>#DIV/0!</v>
      </c>
      <c r="F52" s="303" t="e">
        <f t="shared" si="10"/>
        <v>#DIV/0!</v>
      </c>
      <c r="G52" s="303" t="e">
        <f t="shared" si="10"/>
        <v>#DIV/0!</v>
      </c>
      <c r="H52" s="304" t="e">
        <f t="shared" si="10"/>
        <v>#DIV/0!</v>
      </c>
      <c r="I52" s="303" t="e">
        <f t="shared" si="10"/>
        <v>#DIV/0!</v>
      </c>
      <c r="J52" s="303" t="e">
        <f t="shared" si="10"/>
        <v>#DIV/0!</v>
      </c>
      <c r="K52" s="303" t="e">
        <f t="shared" si="10"/>
        <v>#DIV/0!</v>
      </c>
      <c r="L52" s="303" t="e">
        <f t="shared" si="10"/>
        <v>#DIV/0!</v>
      </c>
      <c r="M52" s="303" t="e">
        <f t="shared" si="10"/>
        <v>#DIV/0!</v>
      </c>
      <c r="N52" s="303" t="e">
        <f t="shared" si="10"/>
        <v>#DIV/0!</v>
      </c>
      <c r="O52" s="303" t="e">
        <f t="shared" si="10"/>
        <v>#DIV/0!</v>
      </c>
      <c r="P52" s="303" t="e">
        <f t="shared" si="10"/>
        <v>#DIV/0!</v>
      </c>
      <c r="Q52" s="303" t="e">
        <f t="shared" si="10"/>
        <v>#DIV/0!</v>
      </c>
      <c r="R52" s="305" t="e">
        <f t="shared" si="10"/>
        <v>#DIV/0!</v>
      </c>
      <c r="S52" s="247"/>
      <c r="T52" s="247"/>
      <c r="U52" s="247"/>
    </row>
    <row r="53" spans="1:21" ht="14.25" thickTop="1" x14ac:dyDescent="0.25">
      <c r="A53" s="259"/>
      <c r="B53" s="255"/>
      <c r="C53" s="256"/>
      <c r="D53" s="256"/>
      <c r="E53" s="266"/>
      <c r="F53" s="266"/>
      <c r="G53" s="266"/>
      <c r="H53" s="300"/>
      <c r="I53" s="266"/>
      <c r="J53" s="266"/>
      <c r="K53" s="266"/>
      <c r="L53" s="266"/>
      <c r="M53" s="266"/>
      <c r="N53" s="266"/>
      <c r="O53" s="266"/>
      <c r="P53" s="266"/>
      <c r="Q53" s="266"/>
      <c r="R53" s="267"/>
      <c r="S53" s="247"/>
      <c r="T53" s="247"/>
      <c r="U53" s="247"/>
    </row>
    <row r="54" spans="1:21" x14ac:dyDescent="0.25">
      <c r="A54" s="259"/>
      <c r="B54" s="280" t="s">
        <v>47</v>
      </c>
      <c r="C54" s="256" t="s">
        <v>83</v>
      </c>
      <c r="D54" s="256"/>
      <c r="E54" s="266" t="e">
        <f>E205</f>
        <v>#DIV/0!</v>
      </c>
      <c r="F54" s="266" t="e">
        <f t="shared" ref="F54:R54" si="11">F205</f>
        <v>#DIV/0!</v>
      </c>
      <c r="G54" s="266" t="e">
        <f t="shared" si="11"/>
        <v>#DIV/0!</v>
      </c>
      <c r="H54" s="300" t="e">
        <f t="shared" si="11"/>
        <v>#DIV/0!</v>
      </c>
      <c r="I54" s="266" t="e">
        <f t="shared" si="11"/>
        <v>#DIV/0!</v>
      </c>
      <c r="J54" s="266" t="e">
        <f t="shared" si="11"/>
        <v>#DIV/0!</v>
      </c>
      <c r="K54" s="266" t="e">
        <f t="shared" si="11"/>
        <v>#DIV/0!</v>
      </c>
      <c r="L54" s="266" t="e">
        <f t="shared" si="11"/>
        <v>#DIV/0!</v>
      </c>
      <c r="M54" s="266" t="e">
        <f t="shared" si="11"/>
        <v>#DIV/0!</v>
      </c>
      <c r="N54" s="266" t="e">
        <f t="shared" si="11"/>
        <v>#DIV/0!</v>
      </c>
      <c r="O54" s="266" t="e">
        <f t="shared" si="11"/>
        <v>#DIV/0!</v>
      </c>
      <c r="P54" s="266" t="e">
        <f t="shared" si="11"/>
        <v>#DIV/0!</v>
      </c>
      <c r="Q54" s="266" t="e">
        <f t="shared" si="11"/>
        <v>#DIV/0!</v>
      </c>
      <c r="R54" s="267" t="e">
        <f t="shared" si="11"/>
        <v>#DIV/0!</v>
      </c>
      <c r="S54" s="247"/>
      <c r="T54" s="247"/>
      <c r="U54" s="247"/>
    </row>
    <row r="55" spans="1:21" x14ac:dyDescent="0.25">
      <c r="A55" s="259"/>
      <c r="B55" s="280"/>
      <c r="C55" s="256" t="s">
        <v>57</v>
      </c>
      <c r="D55" s="256"/>
      <c r="E55" s="266">
        <f>E206</f>
        <v>0</v>
      </c>
      <c r="F55" s="266">
        <f t="shared" ref="F55:R55" si="12">F206</f>
        <v>0</v>
      </c>
      <c r="G55" s="266">
        <f t="shared" si="12"/>
        <v>0</v>
      </c>
      <c r="H55" s="300">
        <f t="shared" si="12"/>
        <v>0</v>
      </c>
      <c r="I55" s="266">
        <f t="shared" si="12"/>
        <v>0</v>
      </c>
      <c r="J55" s="266">
        <f t="shared" si="12"/>
        <v>0</v>
      </c>
      <c r="K55" s="266">
        <f t="shared" si="12"/>
        <v>0</v>
      </c>
      <c r="L55" s="266">
        <f t="shared" si="12"/>
        <v>0</v>
      </c>
      <c r="M55" s="266">
        <f t="shared" si="12"/>
        <v>0</v>
      </c>
      <c r="N55" s="266">
        <f t="shared" si="12"/>
        <v>0</v>
      </c>
      <c r="O55" s="266">
        <f t="shared" si="12"/>
        <v>0</v>
      </c>
      <c r="P55" s="266">
        <f t="shared" si="12"/>
        <v>0</v>
      </c>
      <c r="Q55" s="266">
        <f t="shared" si="12"/>
        <v>0</v>
      </c>
      <c r="R55" s="267">
        <f t="shared" si="12"/>
        <v>0</v>
      </c>
      <c r="S55" s="247"/>
      <c r="T55" s="247"/>
      <c r="U55" s="247"/>
    </row>
    <row r="56" spans="1:21" x14ac:dyDescent="0.25">
      <c r="A56" s="259"/>
      <c r="B56" s="280"/>
      <c r="C56" s="256" t="s">
        <v>156</v>
      </c>
      <c r="D56" s="256"/>
      <c r="E56" s="266" t="e">
        <f>E207</f>
        <v>#DIV/0!</v>
      </c>
      <c r="F56" s="266" t="e">
        <f t="shared" ref="F56:R56" si="13">F207</f>
        <v>#DIV/0!</v>
      </c>
      <c r="G56" s="266" t="e">
        <f t="shared" si="13"/>
        <v>#DIV/0!</v>
      </c>
      <c r="H56" s="300" t="e">
        <f t="shared" si="13"/>
        <v>#DIV/0!</v>
      </c>
      <c r="I56" s="266" t="e">
        <f t="shared" si="13"/>
        <v>#DIV/0!</v>
      </c>
      <c r="J56" s="266" t="e">
        <f t="shared" si="13"/>
        <v>#DIV/0!</v>
      </c>
      <c r="K56" s="266" t="e">
        <f t="shared" si="13"/>
        <v>#DIV/0!</v>
      </c>
      <c r="L56" s="266" t="e">
        <f t="shared" si="13"/>
        <v>#DIV/0!</v>
      </c>
      <c r="M56" s="266" t="e">
        <f t="shared" si="13"/>
        <v>#DIV/0!</v>
      </c>
      <c r="N56" s="266" t="e">
        <f t="shared" si="13"/>
        <v>#DIV/0!</v>
      </c>
      <c r="O56" s="266" t="e">
        <f t="shared" si="13"/>
        <v>#DIV/0!</v>
      </c>
      <c r="P56" s="266" t="e">
        <f t="shared" si="13"/>
        <v>#DIV/0!</v>
      </c>
      <c r="Q56" s="266" t="e">
        <f t="shared" si="13"/>
        <v>#DIV/0!</v>
      </c>
      <c r="R56" s="267" t="e">
        <f t="shared" si="13"/>
        <v>#DIV/0!</v>
      </c>
      <c r="S56" s="247"/>
      <c r="T56" s="247"/>
      <c r="U56" s="247"/>
    </row>
    <row r="57" spans="1:21" x14ac:dyDescent="0.25">
      <c r="A57" s="259"/>
      <c r="B57" s="255"/>
      <c r="C57" s="256" t="s">
        <v>94</v>
      </c>
      <c r="D57" s="256"/>
      <c r="E57" s="266">
        <f t="shared" ref="E57:R57" si="14">E171</f>
        <v>0</v>
      </c>
      <c r="F57" s="266">
        <f t="shared" si="14"/>
        <v>0</v>
      </c>
      <c r="G57" s="266">
        <f t="shared" si="14"/>
        <v>0</v>
      </c>
      <c r="H57" s="300">
        <f t="shared" si="14"/>
        <v>0</v>
      </c>
      <c r="I57" s="266">
        <f t="shared" si="14"/>
        <v>0</v>
      </c>
      <c r="J57" s="266" t="e">
        <f t="shared" si="14"/>
        <v>#DIV/0!</v>
      </c>
      <c r="K57" s="266" t="e">
        <f t="shared" si="14"/>
        <v>#DIV/0!</v>
      </c>
      <c r="L57" s="266" t="e">
        <f t="shared" si="14"/>
        <v>#DIV/0!</v>
      </c>
      <c r="M57" s="266" t="e">
        <f t="shared" si="14"/>
        <v>#DIV/0!</v>
      </c>
      <c r="N57" s="266" t="e">
        <f t="shared" si="14"/>
        <v>#DIV/0!</v>
      </c>
      <c r="O57" s="266" t="e">
        <f t="shared" si="14"/>
        <v>#DIV/0!</v>
      </c>
      <c r="P57" s="266" t="e">
        <f t="shared" si="14"/>
        <v>#DIV/0!</v>
      </c>
      <c r="Q57" s="266" t="e">
        <f t="shared" si="14"/>
        <v>#DIV/0!</v>
      </c>
      <c r="R57" s="267" t="e">
        <f t="shared" si="14"/>
        <v>#DIV/0!</v>
      </c>
      <c r="S57" s="247"/>
      <c r="T57" s="247"/>
      <c r="U57" s="247"/>
    </row>
    <row r="58" spans="1:21" x14ac:dyDescent="0.25">
      <c r="A58" s="259"/>
      <c r="B58" s="255"/>
      <c r="C58" s="256" t="s">
        <v>96</v>
      </c>
      <c r="D58" s="256"/>
      <c r="E58" s="266" t="e">
        <f xml:space="preserve"> -IF(SUM(E52, E54:E57) &gt;0, SUM(E52, E54:E57) * $I$20, 0)</f>
        <v>#DIV/0!</v>
      </c>
      <c r="F58" s="266" t="e">
        <f xml:space="preserve"> -IF(SUM(F52, F54:F57) &gt;0, SUM(F52, F54:F57) * $I$20, 0)</f>
        <v>#DIV/0!</v>
      </c>
      <c r="G58" s="266">
        <v>0</v>
      </c>
      <c r="H58" s="300" t="e">
        <f xml:space="preserve"> -IF(SUM(E52:H52, E54:H57) &gt;0, SUM(E52:H52, E54:H57) * $I$20, 0)</f>
        <v>#DIV/0!</v>
      </c>
      <c r="I58" s="266" t="e">
        <f t="shared" ref="I58:R58" si="15" xml:space="preserve"> -IF(SUM(I52, I54:I57) &gt;0, SUM(I52, I54:I57) * $I$20, 0)</f>
        <v>#DIV/0!</v>
      </c>
      <c r="J58" s="266" t="e">
        <f t="shared" si="15"/>
        <v>#DIV/0!</v>
      </c>
      <c r="K58" s="266" t="e">
        <f t="shared" si="15"/>
        <v>#DIV/0!</v>
      </c>
      <c r="L58" s="266" t="e">
        <f t="shared" si="15"/>
        <v>#DIV/0!</v>
      </c>
      <c r="M58" s="266" t="e">
        <f t="shared" si="15"/>
        <v>#DIV/0!</v>
      </c>
      <c r="N58" s="266" t="e">
        <f t="shared" si="15"/>
        <v>#DIV/0!</v>
      </c>
      <c r="O58" s="266" t="e">
        <f t="shared" si="15"/>
        <v>#DIV/0!</v>
      </c>
      <c r="P58" s="266" t="e">
        <f t="shared" si="15"/>
        <v>#DIV/0!</v>
      </c>
      <c r="Q58" s="266" t="e">
        <f t="shared" si="15"/>
        <v>#DIV/0!</v>
      </c>
      <c r="R58" s="267" t="e">
        <f t="shared" si="15"/>
        <v>#DIV/0!</v>
      </c>
      <c r="S58" s="247"/>
      <c r="T58" s="247"/>
      <c r="U58" s="247"/>
    </row>
    <row r="59" spans="1:21" x14ac:dyDescent="0.25">
      <c r="A59" s="259"/>
      <c r="B59" s="255"/>
      <c r="C59" s="256"/>
      <c r="D59" s="256"/>
      <c r="E59" s="266"/>
      <c r="F59" s="266"/>
      <c r="G59" s="266"/>
      <c r="H59" s="300"/>
      <c r="I59" s="266"/>
      <c r="J59" s="266"/>
      <c r="K59" s="266"/>
      <c r="L59" s="266"/>
      <c r="M59" s="266"/>
      <c r="N59" s="266"/>
      <c r="O59" s="266"/>
      <c r="P59" s="266"/>
      <c r="Q59" s="266"/>
      <c r="R59" s="267"/>
      <c r="S59" s="247"/>
      <c r="T59" s="247"/>
      <c r="U59" s="247"/>
    </row>
    <row r="60" spans="1:21" ht="14.25" thickBot="1" x14ac:dyDescent="0.3">
      <c r="A60" s="259"/>
      <c r="B60" s="301" t="s">
        <v>49</v>
      </c>
      <c r="C60" s="302"/>
      <c r="D60" s="302"/>
      <c r="E60" s="303" t="e">
        <f t="shared" ref="E60:R60" si="16">SUM(E52,E54:E58)</f>
        <v>#DIV/0!</v>
      </c>
      <c r="F60" s="303" t="e">
        <f t="shared" si="16"/>
        <v>#DIV/0!</v>
      </c>
      <c r="G60" s="303" t="e">
        <f t="shared" si="16"/>
        <v>#DIV/0!</v>
      </c>
      <c r="H60" s="304" t="e">
        <f t="shared" si="16"/>
        <v>#DIV/0!</v>
      </c>
      <c r="I60" s="303" t="e">
        <f t="shared" si="16"/>
        <v>#DIV/0!</v>
      </c>
      <c r="J60" s="303" t="e">
        <f t="shared" si="16"/>
        <v>#DIV/0!</v>
      </c>
      <c r="K60" s="303" t="e">
        <f t="shared" si="16"/>
        <v>#DIV/0!</v>
      </c>
      <c r="L60" s="303" t="e">
        <f t="shared" si="16"/>
        <v>#DIV/0!</v>
      </c>
      <c r="M60" s="303" t="e">
        <f t="shared" si="16"/>
        <v>#DIV/0!</v>
      </c>
      <c r="N60" s="303" t="e">
        <f t="shared" si="16"/>
        <v>#DIV/0!</v>
      </c>
      <c r="O60" s="303" t="e">
        <f t="shared" si="16"/>
        <v>#DIV/0!</v>
      </c>
      <c r="P60" s="303" t="e">
        <f t="shared" si="16"/>
        <v>#DIV/0!</v>
      </c>
      <c r="Q60" s="303" t="e">
        <f t="shared" si="16"/>
        <v>#DIV/0!</v>
      </c>
      <c r="R60" s="305" t="e">
        <f t="shared" si="16"/>
        <v>#DIV/0!</v>
      </c>
      <c r="S60" s="247"/>
      <c r="T60" s="247"/>
      <c r="U60" s="247"/>
    </row>
    <row r="61" spans="1:21" ht="14.25" thickTop="1" x14ac:dyDescent="0.25">
      <c r="A61" s="259"/>
      <c r="B61" s="280"/>
      <c r="C61" s="256"/>
      <c r="D61" s="256"/>
      <c r="E61" s="266"/>
      <c r="F61" s="266"/>
      <c r="G61" s="266"/>
      <c r="H61" s="266"/>
      <c r="I61" s="266"/>
      <c r="J61" s="266"/>
      <c r="K61" s="266"/>
      <c r="L61" s="266"/>
      <c r="M61" s="266"/>
      <c r="N61" s="266"/>
      <c r="O61" s="266"/>
      <c r="P61" s="266"/>
      <c r="Q61" s="266"/>
      <c r="R61" s="267"/>
      <c r="S61" s="247"/>
      <c r="T61" s="247"/>
      <c r="U61" s="247"/>
    </row>
    <row r="62" spans="1:21" x14ac:dyDescent="0.25">
      <c r="A62" s="259"/>
      <c r="B62" s="280" t="s">
        <v>103</v>
      </c>
      <c r="C62" s="256" t="s">
        <v>121</v>
      </c>
      <c r="D62" s="256"/>
      <c r="E62" s="266"/>
      <c r="F62" s="266"/>
      <c r="G62" s="266"/>
      <c r="H62" s="266"/>
      <c r="I62" s="266">
        <f t="shared" ref="I62:R62" si="17">IF($C$62="Yes", -MAX(0, SUM(I130, I108, I116, I118:I123) - I166), 0)</f>
        <v>0</v>
      </c>
      <c r="J62" s="266">
        <f t="shared" si="17"/>
        <v>0</v>
      </c>
      <c r="K62" s="266">
        <f t="shared" si="17"/>
        <v>0</v>
      </c>
      <c r="L62" s="266">
        <f t="shared" si="17"/>
        <v>0</v>
      </c>
      <c r="M62" s="266">
        <f t="shared" si="17"/>
        <v>0</v>
      </c>
      <c r="N62" s="266">
        <f t="shared" si="17"/>
        <v>0</v>
      </c>
      <c r="O62" s="266">
        <f t="shared" si="17"/>
        <v>0</v>
      </c>
      <c r="P62" s="266">
        <f t="shared" si="17"/>
        <v>0</v>
      </c>
      <c r="Q62" s="266">
        <f t="shared" si="17"/>
        <v>0</v>
      </c>
      <c r="R62" s="267">
        <f t="shared" si="17"/>
        <v>0</v>
      </c>
      <c r="S62" s="247"/>
      <c r="T62" s="247"/>
      <c r="U62" s="247"/>
    </row>
    <row r="63" spans="1:21" x14ac:dyDescent="0.25">
      <c r="A63" s="259"/>
      <c r="B63" s="280"/>
      <c r="C63" s="256"/>
      <c r="D63" s="256"/>
      <c r="E63" s="266"/>
      <c r="F63" s="266"/>
      <c r="G63" s="266"/>
      <c r="H63" s="266"/>
      <c r="I63" s="266"/>
      <c r="J63" s="266"/>
      <c r="K63" s="266"/>
      <c r="L63" s="266"/>
      <c r="M63" s="266"/>
      <c r="N63" s="266"/>
      <c r="O63" s="266"/>
      <c r="P63" s="266"/>
      <c r="Q63" s="266"/>
      <c r="R63" s="267"/>
      <c r="S63" s="247"/>
      <c r="T63" s="247"/>
      <c r="U63" s="247"/>
    </row>
    <row r="64" spans="1:21" ht="14.25" thickBot="1" x14ac:dyDescent="0.3">
      <c r="A64" s="259"/>
      <c r="B64" s="301" t="s">
        <v>79</v>
      </c>
      <c r="C64" s="302"/>
      <c r="D64" s="302"/>
      <c r="E64" s="303" t="e">
        <f>SUM(E57,E59:E62)</f>
        <v>#DIV/0!</v>
      </c>
      <c r="F64" s="303" t="e">
        <f>SUM(F57,F59:F62)</f>
        <v>#DIV/0!</v>
      </c>
      <c r="G64" s="303" t="e">
        <f>SUM(G57,G59:G62)</f>
        <v>#DIV/0!</v>
      </c>
      <c r="H64" s="304" t="e">
        <f>SUM(H57,H59:H62)</f>
        <v>#DIV/0!</v>
      </c>
      <c r="I64" s="303" t="e">
        <f>I60+I62</f>
        <v>#DIV/0!</v>
      </c>
      <c r="J64" s="303" t="e">
        <f t="shared" ref="J64:R64" si="18">J60+J62</f>
        <v>#DIV/0!</v>
      </c>
      <c r="K64" s="303" t="e">
        <f t="shared" si="18"/>
        <v>#DIV/0!</v>
      </c>
      <c r="L64" s="303" t="e">
        <f t="shared" si="18"/>
        <v>#DIV/0!</v>
      </c>
      <c r="M64" s="303" t="e">
        <f t="shared" si="18"/>
        <v>#DIV/0!</v>
      </c>
      <c r="N64" s="303" t="e">
        <f t="shared" si="18"/>
        <v>#DIV/0!</v>
      </c>
      <c r="O64" s="303" t="e">
        <f t="shared" si="18"/>
        <v>#DIV/0!</v>
      </c>
      <c r="P64" s="303" t="e">
        <f t="shared" si="18"/>
        <v>#DIV/0!</v>
      </c>
      <c r="Q64" s="303" t="e">
        <f t="shared" si="18"/>
        <v>#DIV/0!</v>
      </c>
      <c r="R64" s="305" t="e">
        <f t="shared" si="18"/>
        <v>#DIV/0!</v>
      </c>
      <c r="S64" s="247"/>
      <c r="T64" s="247"/>
      <c r="U64" s="247"/>
    </row>
    <row r="65" spans="1:21" ht="15" thickTop="1" thickBot="1" x14ac:dyDescent="0.3">
      <c r="A65" s="259"/>
      <c r="B65" s="306"/>
      <c r="C65" s="307"/>
      <c r="D65" s="307"/>
      <c r="E65" s="308"/>
      <c r="F65" s="308"/>
      <c r="G65" s="308"/>
      <c r="H65" s="308"/>
      <c r="I65" s="308"/>
      <c r="J65" s="308"/>
      <c r="K65" s="308"/>
      <c r="L65" s="308"/>
      <c r="M65" s="308"/>
      <c r="N65" s="308"/>
      <c r="O65" s="308"/>
      <c r="P65" s="308"/>
      <c r="Q65" s="308"/>
      <c r="R65" s="309"/>
      <c r="S65" s="247"/>
      <c r="T65" s="247"/>
      <c r="U65" s="247"/>
    </row>
    <row r="66" spans="1:21" x14ac:dyDescent="0.25">
      <c r="A66" s="259"/>
      <c r="B66" s="310"/>
      <c r="C66" s="310"/>
      <c r="D66" s="310"/>
      <c r="E66" s="311"/>
      <c r="F66" s="311"/>
      <c r="G66" s="311"/>
      <c r="H66" s="311"/>
      <c r="I66" s="311"/>
      <c r="J66" s="311"/>
      <c r="K66" s="311"/>
      <c r="L66" s="311"/>
      <c r="M66" s="311"/>
      <c r="N66" s="311"/>
      <c r="O66" s="311"/>
      <c r="P66" s="311"/>
      <c r="Q66" s="311"/>
      <c r="R66" s="311"/>
      <c r="S66" s="247"/>
      <c r="T66" s="247"/>
      <c r="U66" s="247"/>
    </row>
    <row r="67" spans="1:21" x14ac:dyDescent="0.25">
      <c r="A67" s="259"/>
      <c r="B67" s="310"/>
      <c r="C67" s="310"/>
      <c r="D67" s="310"/>
      <c r="E67" s="311"/>
      <c r="F67" s="311"/>
      <c r="G67" s="311"/>
      <c r="H67" s="311"/>
      <c r="I67" s="311"/>
      <c r="J67" s="311"/>
      <c r="K67" s="311"/>
      <c r="L67" s="311"/>
      <c r="M67" s="311"/>
      <c r="N67" s="311"/>
      <c r="O67" s="311"/>
      <c r="P67" s="311"/>
      <c r="Q67" s="311"/>
      <c r="R67" s="311"/>
      <c r="S67" s="247"/>
      <c r="T67" s="247"/>
      <c r="U67" s="247"/>
    </row>
    <row r="68" spans="1:21" x14ac:dyDescent="0.25">
      <c r="A68" s="259"/>
      <c r="B68" s="310"/>
      <c r="C68" s="310"/>
      <c r="D68" s="310"/>
      <c r="E68" s="311"/>
      <c r="F68" s="311"/>
      <c r="G68" s="311"/>
      <c r="H68" s="311"/>
      <c r="I68" s="311"/>
      <c r="J68" s="311"/>
      <c r="K68" s="311"/>
      <c r="L68" s="311"/>
      <c r="M68" s="311"/>
      <c r="N68" s="311"/>
      <c r="O68" s="311"/>
      <c r="P68" s="311"/>
      <c r="Q68" s="311"/>
      <c r="R68" s="311"/>
      <c r="S68" s="247"/>
      <c r="T68" s="247"/>
      <c r="U68" s="247"/>
    </row>
    <row r="69" spans="1:21" ht="14.25" thickBot="1" x14ac:dyDescent="0.3">
      <c r="A69" s="259"/>
      <c r="I69" s="259" t="s">
        <v>19</v>
      </c>
      <c r="J69" s="259" t="s">
        <v>20</v>
      </c>
      <c r="K69" s="259" t="s">
        <v>21</v>
      </c>
      <c r="L69" s="259" t="s">
        <v>22</v>
      </c>
      <c r="M69" s="259" t="s">
        <v>23</v>
      </c>
      <c r="N69" s="259" t="s">
        <v>24</v>
      </c>
      <c r="O69" s="259" t="s">
        <v>25</v>
      </c>
      <c r="P69" s="259" t="s">
        <v>26</v>
      </c>
      <c r="Q69" s="259" t="s">
        <v>27</v>
      </c>
      <c r="R69" s="259" t="s">
        <v>28</v>
      </c>
      <c r="S69" s="247"/>
      <c r="T69" s="247"/>
      <c r="U69" s="247"/>
    </row>
    <row r="70" spans="1:21" x14ac:dyDescent="0.25">
      <c r="A70" s="259"/>
      <c r="B70" s="251" t="s">
        <v>51</v>
      </c>
      <c r="C70" s="252"/>
      <c r="D70" s="252"/>
      <c r="E70" s="283">
        <v>43100</v>
      </c>
      <c r="F70" s="283">
        <f>EOMONTH(E70,3)</f>
        <v>43190</v>
      </c>
      <c r="G70" s="283">
        <f>EOMONTH(F70,3)</f>
        <v>43281</v>
      </c>
      <c r="H70" s="284">
        <f>EOMONTH(G70,3)</f>
        <v>43373</v>
      </c>
      <c r="I70" s="285">
        <v>43465</v>
      </c>
      <c r="J70" s="285">
        <f>EOMONTH(I70,12)</f>
        <v>43830</v>
      </c>
      <c r="K70" s="285">
        <f t="shared" ref="K70:R70" si="19">EOMONTH(J70,12)</f>
        <v>44196</v>
      </c>
      <c r="L70" s="285">
        <f t="shared" si="19"/>
        <v>44561</v>
      </c>
      <c r="M70" s="285">
        <f t="shared" si="19"/>
        <v>44926</v>
      </c>
      <c r="N70" s="285">
        <f t="shared" si="19"/>
        <v>45291</v>
      </c>
      <c r="O70" s="285">
        <f t="shared" si="19"/>
        <v>45657</v>
      </c>
      <c r="P70" s="285">
        <f t="shared" si="19"/>
        <v>46022</v>
      </c>
      <c r="Q70" s="285">
        <f t="shared" si="19"/>
        <v>46387</v>
      </c>
      <c r="R70" s="286">
        <f t="shared" si="19"/>
        <v>46752</v>
      </c>
      <c r="S70" s="247"/>
      <c r="T70" s="247"/>
      <c r="U70" s="247"/>
    </row>
    <row r="71" spans="1:21" x14ac:dyDescent="0.25">
      <c r="A71" s="259"/>
      <c r="B71" s="255"/>
      <c r="C71" s="256"/>
      <c r="D71" s="256"/>
      <c r="E71" s="256"/>
      <c r="F71" s="256"/>
      <c r="G71" s="256"/>
      <c r="H71" s="258"/>
      <c r="I71" s="256"/>
      <c r="J71" s="256"/>
      <c r="K71" s="256"/>
      <c r="L71" s="256"/>
      <c r="M71" s="256"/>
      <c r="N71" s="256"/>
      <c r="O71" s="256"/>
      <c r="P71" s="256"/>
      <c r="Q71" s="256"/>
      <c r="R71" s="257"/>
      <c r="S71" s="247"/>
      <c r="T71" s="247"/>
      <c r="U71" s="247"/>
    </row>
    <row r="72" spans="1:21" x14ac:dyDescent="0.25">
      <c r="A72" s="259"/>
      <c r="B72" s="280" t="s">
        <v>59</v>
      </c>
      <c r="C72" s="256" t="s">
        <v>67</v>
      </c>
      <c r="D72" s="256"/>
      <c r="E72" s="266"/>
      <c r="F72" s="266"/>
      <c r="G72" s="266"/>
      <c r="H72" s="300"/>
      <c r="I72" s="266" t="e">
        <f t="shared" ref="I72:R72" si="20">I131</f>
        <v>#DIV/0!</v>
      </c>
      <c r="J72" s="266" t="e">
        <f t="shared" si="20"/>
        <v>#DIV/0!</v>
      </c>
      <c r="K72" s="266" t="e">
        <f t="shared" si="20"/>
        <v>#DIV/0!</v>
      </c>
      <c r="L72" s="266" t="e">
        <f t="shared" si="20"/>
        <v>#DIV/0!</v>
      </c>
      <c r="M72" s="266" t="e">
        <f t="shared" si="20"/>
        <v>#DIV/0!</v>
      </c>
      <c r="N72" s="266" t="e">
        <f t="shared" si="20"/>
        <v>#DIV/0!</v>
      </c>
      <c r="O72" s="266" t="e">
        <f t="shared" si="20"/>
        <v>#DIV/0!</v>
      </c>
      <c r="P72" s="266" t="e">
        <f t="shared" si="20"/>
        <v>#DIV/0!</v>
      </c>
      <c r="Q72" s="266" t="e">
        <f t="shared" si="20"/>
        <v>#DIV/0!</v>
      </c>
      <c r="R72" s="267" t="e">
        <f t="shared" si="20"/>
        <v>#DIV/0!</v>
      </c>
      <c r="S72" s="247"/>
      <c r="T72" s="247"/>
      <c r="U72" s="247"/>
    </row>
    <row r="73" spans="1:21" x14ac:dyDescent="0.25">
      <c r="A73" s="259"/>
      <c r="B73" s="255"/>
      <c r="C73" s="256" t="s">
        <v>60</v>
      </c>
      <c r="D73" s="256"/>
      <c r="E73" s="266"/>
      <c r="F73" s="266"/>
      <c r="G73" s="266"/>
      <c r="H73" s="300"/>
      <c r="I73" s="266" t="e">
        <f t="shared" ref="I73:R73" si="21">I185</f>
        <v>#DIV/0!</v>
      </c>
      <c r="J73" s="266" t="e">
        <f t="shared" si="21"/>
        <v>#DIV/0!</v>
      </c>
      <c r="K73" s="266" t="e">
        <f t="shared" si="21"/>
        <v>#DIV/0!</v>
      </c>
      <c r="L73" s="266" t="e">
        <f t="shared" si="21"/>
        <v>#DIV/0!</v>
      </c>
      <c r="M73" s="266" t="e">
        <f t="shared" si="21"/>
        <v>#DIV/0!</v>
      </c>
      <c r="N73" s="266" t="e">
        <f t="shared" si="21"/>
        <v>#DIV/0!</v>
      </c>
      <c r="O73" s="266" t="e">
        <f t="shared" si="21"/>
        <v>#DIV/0!</v>
      </c>
      <c r="P73" s="266" t="e">
        <f t="shared" si="21"/>
        <v>#DIV/0!</v>
      </c>
      <c r="Q73" s="266" t="e">
        <f t="shared" si="21"/>
        <v>#DIV/0!</v>
      </c>
      <c r="R73" s="267" t="e">
        <f t="shared" si="21"/>
        <v>#DIV/0!</v>
      </c>
      <c r="S73" s="247"/>
      <c r="T73" s="247"/>
      <c r="U73" s="247"/>
    </row>
    <row r="74" spans="1:21" x14ac:dyDescent="0.25">
      <c r="A74" s="259"/>
      <c r="B74" s="255"/>
      <c r="C74" s="256" t="s">
        <v>66</v>
      </c>
      <c r="D74" s="256"/>
      <c r="E74" s="266"/>
      <c r="F74" s="266"/>
      <c r="G74" s="266"/>
      <c r="H74" s="300"/>
      <c r="I74" s="266">
        <v>0</v>
      </c>
      <c r="J74" s="266">
        <v>0</v>
      </c>
      <c r="K74" s="266">
        <v>0</v>
      </c>
      <c r="L74" s="266">
        <v>0</v>
      </c>
      <c r="M74" s="266">
        <v>0</v>
      </c>
      <c r="N74" s="266">
        <v>0</v>
      </c>
      <c r="O74" s="266">
        <v>0</v>
      </c>
      <c r="P74" s="266">
        <v>0</v>
      </c>
      <c r="Q74" s="266">
        <v>0</v>
      </c>
      <c r="R74" s="267">
        <v>0</v>
      </c>
      <c r="S74" s="247"/>
      <c r="T74" s="247"/>
      <c r="U74" s="247"/>
    </row>
    <row r="75" spans="1:21" x14ac:dyDescent="0.25">
      <c r="A75" s="259"/>
      <c r="B75" s="255"/>
      <c r="C75" s="256"/>
      <c r="D75" s="256"/>
      <c r="E75" s="256"/>
      <c r="F75" s="312"/>
      <c r="G75" s="312"/>
      <c r="H75" s="258"/>
      <c r="I75" s="256"/>
      <c r="J75" s="256"/>
      <c r="K75" s="256"/>
      <c r="L75" s="256"/>
      <c r="M75" s="256"/>
      <c r="N75" s="256"/>
      <c r="O75" s="256"/>
      <c r="P75" s="256"/>
      <c r="Q75" s="256"/>
      <c r="R75" s="257"/>
      <c r="S75" s="247"/>
      <c r="T75" s="247"/>
      <c r="U75" s="247"/>
    </row>
    <row r="76" spans="1:21" x14ac:dyDescent="0.25">
      <c r="A76" s="259"/>
      <c r="B76" s="280" t="s">
        <v>52</v>
      </c>
      <c r="C76" s="256" t="s">
        <v>68</v>
      </c>
      <c r="D76" s="256"/>
      <c r="E76" s="266"/>
      <c r="F76" s="312"/>
      <c r="G76" s="312"/>
      <c r="H76" s="313"/>
      <c r="I76" s="266" t="e">
        <f>-I197 + I54</f>
        <v>#DIV/0!</v>
      </c>
      <c r="J76" s="266" t="e">
        <f t="shared" ref="J76:R76" si="22">I76+J54</f>
        <v>#DIV/0!</v>
      </c>
      <c r="K76" s="266" t="e">
        <f t="shared" si="22"/>
        <v>#DIV/0!</v>
      </c>
      <c r="L76" s="266" t="e">
        <f t="shared" si="22"/>
        <v>#DIV/0!</v>
      </c>
      <c r="M76" s="266" t="e">
        <f t="shared" si="22"/>
        <v>#DIV/0!</v>
      </c>
      <c r="N76" s="266" t="e">
        <f t="shared" si="22"/>
        <v>#DIV/0!</v>
      </c>
      <c r="O76" s="266" t="e">
        <f t="shared" si="22"/>
        <v>#DIV/0!</v>
      </c>
      <c r="P76" s="266" t="e">
        <f t="shared" si="22"/>
        <v>#DIV/0!</v>
      </c>
      <c r="Q76" s="266" t="e">
        <f t="shared" si="22"/>
        <v>#DIV/0!</v>
      </c>
      <c r="R76" s="267" t="e">
        <f t="shared" si="22"/>
        <v>#DIV/0!</v>
      </c>
      <c r="S76" s="247"/>
      <c r="T76" s="247"/>
      <c r="U76" s="247"/>
    </row>
    <row r="77" spans="1:21" x14ac:dyDescent="0.25">
      <c r="A77" s="259"/>
      <c r="B77" s="255"/>
      <c r="C77" s="256" t="s">
        <v>58</v>
      </c>
      <c r="D77" s="256"/>
      <c r="E77" s="266"/>
      <c r="F77" s="312"/>
      <c r="G77" s="266"/>
      <c r="H77" s="300"/>
      <c r="I77" s="266">
        <f>'Unit Economics'!I62+I55</f>
        <v>0</v>
      </c>
      <c r="J77" s="266">
        <f t="shared" ref="J77:R77" si="23">I77+J55</f>
        <v>0</v>
      </c>
      <c r="K77" s="266">
        <f t="shared" si="23"/>
        <v>0</v>
      </c>
      <c r="L77" s="266">
        <f t="shared" si="23"/>
        <v>0</v>
      </c>
      <c r="M77" s="266">
        <f t="shared" si="23"/>
        <v>0</v>
      </c>
      <c r="N77" s="266">
        <f t="shared" si="23"/>
        <v>0</v>
      </c>
      <c r="O77" s="266">
        <f t="shared" si="23"/>
        <v>0</v>
      </c>
      <c r="P77" s="266">
        <f t="shared" si="23"/>
        <v>0</v>
      </c>
      <c r="Q77" s="266">
        <f t="shared" si="23"/>
        <v>0</v>
      </c>
      <c r="R77" s="267">
        <f t="shared" si="23"/>
        <v>0</v>
      </c>
      <c r="S77" s="247"/>
      <c r="T77" s="247"/>
      <c r="U77" s="247"/>
    </row>
    <row r="78" spans="1:21" x14ac:dyDescent="0.25">
      <c r="A78" s="259"/>
      <c r="B78" s="255"/>
      <c r="C78" s="271" t="s">
        <v>152</v>
      </c>
      <c r="D78" s="256"/>
      <c r="E78" s="266"/>
      <c r="F78" s="312"/>
      <c r="G78" s="266"/>
      <c r="H78" s="300"/>
      <c r="I78" s="266" t="e">
        <f>-I203 + I56 - I114</f>
        <v>#DIV/0!</v>
      </c>
      <c r="J78" s="266" t="e">
        <f>I78+J56 - J114</f>
        <v>#DIV/0!</v>
      </c>
      <c r="K78" s="266" t="e">
        <f t="shared" ref="K78:R78" si="24">J78+K56 - K114</f>
        <v>#DIV/0!</v>
      </c>
      <c r="L78" s="266" t="e">
        <f t="shared" si="24"/>
        <v>#DIV/0!</v>
      </c>
      <c r="M78" s="266" t="e">
        <f t="shared" si="24"/>
        <v>#DIV/0!</v>
      </c>
      <c r="N78" s="266" t="e">
        <f t="shared" si="24"/>
        <v>#DIV/0!</v>
      </c>
      <c r="O78" s="266" t="e">
        <f t="shared" si="24"/>
        <v>#DIV/0!</v>
      </c>
      <c r="P78" s="266" t="e">
        <f t="shared" si="24"/>
        <v>#DIV/0!</v>
      </c>
      <c r="Q78" s="266" t="e">
        <f t="shared" si="24"/>
        <v>#DIV/0!</v>
      </c>
      <c r="R78" s="267" t="e">
        <f t="shared" si="24"/>
        <v>#DIV/0!</v>
      </c>
      <c r="S78" s="247"/>
      <c r="T78" s="247"/>
      <c r="U78" s="247"/>
    </row>
    <row r="79" spans="1:21" x14ac:dyDescent="0.25">
      <c r="A79" s="259"/>
      <c r="B79" s="255"/>
      <c r="C79" s="256"/>
      <c r="D79" s="256"/>
      <c r="E79" s="256"/>
      <c r="F79" s="256"/>
      <c r="G79" s="256"/>
      <c r="H79" s="258"/>
      <c r="I79" s="256"/>
      <c r="J79" s="256"/>
      <c r="K79" s="256"/>
      <c r="L79" s="256"/>
      <c r="M79" s="256"/>
      <c r="N79" s="256"/>
      <c r="O79" s="256"/>
      <c r="P79" s="256"/>
      <c r="Q79" s="256"/>
      <c r="R79" s="257"/>
      <c r="S79" s="247"/>
      <c r="T79" s="247"/>
      <c r="U79" s="247"/>
    </row>
    <row r="80" spans="1:21" ht="14.25" thickBot="1" x14ac:dyDescent="0.3">
      <c r="A80" s="259"/>
      <c r="B80" s="301" t="s">
        <v>69</v>
      </c>
      <c r="C80" s="302"/>
      <c r="D80" s="302"/>
      <c r="E80" s="302"/>
      <c r="F80" s="302"/>
      <c r="G80" s="302"/>
      <c r="H80" s="314"/>
      <c r="I80" s="303" t="e">
        <f>SUM(I72:I78)</f>
        <v>#DIV/0!</v>
      </c>
      <c r="J80" s="303" t="e">
        <f t="shared" ref="J80:R80" si="25">SUM(J72:J78)</f>
        <v>#DIV/0!</v>
      </c>
      <c r="K80" s="303" t="e">
        <f t="shared" si="25"/>
        <v>#DIV/0!</v>
      </c>
      <c r="L80" s="303" t="e">
        <f t="shared" si="25"/>
        <v>#DIV/0!</v>
      </c>
      <c r="M80" s="303" t="e">
        <f t="shared" si="25"/>
        <v>#DIV/0!</v>
      </c>
      <c r="N80" s="303" t="e">
        <f t="shared" si="25"/>
        <v>#DIV/0!</v>
      </c>
      <c r="O80" s="303" t="e">
        <f t="shared" si="25"/>
        <v>#DIV/0!</v>
      </c>
      <c r="P80" s="303" t="e">
        <f t="shared" si="25"/>
        <v>#DIV/0!</v>
      </c>
      <c r="Q80" s="303" t="e">
        <f t="shared" si="25"/>
        <v>#DIV/0!</v>
      </c>
      <c r="R80" s="305" t="e">
        <f t="shared" si="25"/>
        <v>#DIV/0!</v>
      </c>
      <c r="S80" s="247"/>
      <c r="T80" s="247"/>
      <c r="U80" s="247"/>
    </row>
    <row r="81" spans="1:21" ht="14.25" thickTop="1" x14ac:dyDescent="0.25">
      <c r="A81" s="259"/>
      <c r="B81" s="255"/>
      <c r="C81" s="256"/>
      <c r="D81" s="256"/>
      <c r="E81" s="256"/>
      <c r="F81" s="256"/>
      <c r="G81" s="256"/>
      <c r="H81" s="258"/>
      <c r="I81" s="256"/>
      <c r="J81" s="256"/>
      <c r="K81" s="256"/>
      <c r="L81" s="256"/>
      <c r="M81" s="256"/>
      <c r="N81" s="256"/>
      <c r="O81" s="256"/>
      <c r="P81" s="256"/>
      <c r="Q81" s="256"/>
      <c r="R81" s="257"/>
      <c r="S81" s="247"/>
      <c r="T81" s="247"/>
      <c r="U81" s="247"/>
    </row>
    <row r="82" spans="1:21" x14ac:dyDescent="0.25">
      <c r="A82" s="259"/>
      <c r="B82" s="280" t="s">
        <v>70</v>
      </c>
      <c r="C82" s="256" t="s">
        <v>71</v>
      </c>
      <c r="D82" s="256"/>
      <c r="E82" s="266"/>
      <c r="F82" s="266"/>
      <c r="G82" s="266"/>
      <c r="H82" s="300"/>
      <c r="I82" s="266">
        <v>0</v>
      </c>
      <c r="J82" s="266">
        <v>0</v>
      </c>
      <c r="K82" s="266">
        <v>0</v>
      </c>
      <c r="L82" s="266">
        <v>0</v>
      </c>
      <c r="M82" s="266">
        <v>0</v>
      </c>
      <c r="N82" s="266">
        <v>0</v>
      </c>
      <c r="O82" s="266">
        <v>0</v>
      </c>
      <c r="P82" s="266">
        <v>0</v>
      </c>
      <c r="Q82" s="266">
        <v>0</v>
      </c>
      <c r="R82" s="267">
        <v>0</v>
      </c>
      <c r="S82" s="247"/>
      <c r="T82" s="247"/>
      <c r="U82" s="247"/>
    </row>
    <row r="83" spans="1:21" x14ac:dyDescent="0.25">
      <c r="A83" s="259"/>
      <c r="B83" s="280"/>
      <c r="C83" s="256" t="s">
        <v>115</v>
      </c>
      <c r="D83" s="256"/>
      <c r="E83" s="266"/>
      <c r="F83" s="266"/>
      <c r="G83" s="266"/>
      <c r="H83" s="300"/>
      <c r="I83" s="266" t="e">
        <f>I173</f>
        <v>#DIV/0!</v>
      </c>
      <c r="J83" s="266" t="e">
        <f t="shared" ref="J83:R83" si="26">J173</f>
        <v>#DIV/0!</v>
      </c>
      <c r="K83" s="266" t="e">
        <f t="shared" si="26"/>
        <v>#DIV/0!</v>
      </c>
      <c r="L83" s="266" t="e">
        <f t="shared" si="26"/>
        <v>#DIV/0!</v>
      </c>
      <c r="M83" s="266" t="e">
        <f t="shared" si="26"/>
        <v>#DIV/0!</v>
      </c>
      <c r="N83" s="266" t="e">
        <f t="shared" si="26"/>
        <v>#DIV/0!</v>
      </c>
      <c r="O83" s="266" t="e">
        <f t="shared" si="26"/>
        <v>#DIV/0!</v>
      </c>
      <c r="P83" s="266" t="e">
        <f t="shared" si="26"/>
        <v>#DIV/0!</v>
      </c>
      <c r="Q83" s="266" t="e">
        <f t="shared" si="26"/>
        <v>#DIV/0!</v>
      </c>
      <c r="R83" s="267" t="e">
        <f t="shared" si="26"/>
        <v>#DIV/0!</v>
      </c>
      <c r="S83" s="247"/>
      <c r="T83" s="247"/>
      <c r="U83" s="247"/>
    </row>
    <row r="84" spans="1:21" x14ac:dyDescent="0.25">
      <c r="A84" s="259"/>
      <c r="B84" s="255"/>
      <c r="C84" s="256" t="s">
        <v>63</v>
      </c>
      <c r="D84" s="256"/>
      <c r="E84" s="266"/>
      <c r="F84" s="266"/>
      <c r="G84" s="266"/>
      <c r="H84" s="300"/>
      <c r="I84" s="266">
        <v>0</v>
      </c>
      <c r="J84" s="266">
        <v>0</v>
      </c>
      <c r="K84" s="266">
        <v>0</v>
      </c>
      <c r="L84" s="266">
        <v>0</v>
      </c>
      <c r="M84" s="266">
        <v>0</v>
      </c>
      <c r="N84" s="266">
        <v>0</v>
      </c>
      <c r="O84" s="266">
        <v>0</v>
      </c>
      <c r="P84" s="266">
        <v>0</v>
      </c>
      <c r="Q84" s="266">
        <v>0</v>
      </c>
      <c r="R84" s="267">
        <v>0</v>
      </c>
      <c r="S84" s="247"/>
      <c r="T84" s="247"/>
      <c r="U84" s="247"/>
    </row>
    <row r="85" spans="1:21" x14ac:dyDescent="0.25">
      <c r="A85" s="259"/>
      <c r="B85" s="255"/>
      <c r="C85" s="256"/>
      <c r="D85" s="256"/>
      <c r="E85" s="256"/>
      <c r="F85" s="256"/>
      <c r="G85" s="256"/>
      <c r="H85" s="258"/>
      <c r="I85" s="256"/>
      <c r="J85" s="256"/>
      <c r="K85" s="256"/>
      <c r="L85" s="256"/>
      <c r="M85" s="256"/>
      <c r="N85" s="256"/>
      <c r="O85" s="256"/>
      <c r="P85" s="256"/>
      <c r="Q85" s="256"/>
      <c r="R85" s="257"/>
      <c r="S85" s="247"/>
      <c r="T85" s="247"/>
      <c r="U85" s="247"/>
    </row>
    <row r="86" spans="1:21" x14ac:dyDescent="0.25">
      <c r="A86" s="259"/>
      <c r="B86" s="280" t="s">
        <v>74</v>
      </c>
      <c r="C86" s="256" t="s">
        <v>75</v>
      </c>
      <c r="D86" s="256"/>
      <c r="E86" s="266"/>
      <c r="F86" s="266"/>
      <c r="G86" s="266"/>
      <c r="H86" s="300"/>
      <c r="I86" s="266">
        <v>0</v>
      </c>
      <c r="J86" s="266">
        <v>0</v>
      </c>
      <c r="K86" s="266">
        <v>0</v>
      </c>
      <c r="L86" s="266">
        <v>0</v>
      </c>
      <c r="M86" s="266">
        <v>0</v>
      </c>
      <c r="N86" s="266">
        <v>0</v>
      </c>
      <c r="O86" s="266">
        <v>0</v>
      </c>
      <c r="P86" s="266">
        <v>0</v>
      </c>
      <c r="Q86" s="266">
        <v>0</v>
      </c>
      <c r="R86" s="267">
        <v>0</v>
      </c>
      <c r="S86" s="247"/>
      <c r="T86" s="247"/>
      <c r="U86" s="247"/>
    </row>
    <row r="87" spans="1:21" x14ac:dyDescent="0.25">
      <c r="A87" s="259"/>
      <c r="B87" s="255"/>
      <c r="C87" s="256"/>
      <c r="D87" s="256"/>
      <c r="E87" s="256"/>
      <c r="F87" s="256"/>
      <c r="G87" s="256"/>
      <c r="H87" s="258"/>
      <c r="I87" s="256"/>
      <c r="J87" s="256"/>
      <c r="K87" s="256"/>
      <c r="L87" s="256"/>
      <c r="M87" s="256"/>
      <c r="N87" s="256"/>
      <c r="O87" s="256"/>
      <c r="P87" s="256"/>
      <c r="Q87" s="256"/>
      <c r="R87" s="257"/>
      <c r="S87" s="247"/>
      <c r="T87" s="247"/>
      <c r="U87" s="247"/>
    </row>
    <row r="88" spans="1:21" ht="14.25" thickBot="1" x14ac:dyDescent="0.3">
      <c r="A88" s="259"/>
      <c r="B88" s="301" t="s">
        <v>76</v>
      </c>
      <c r="C88" s="302"/>
      <c r="D88" s="302"/>
      <c r="E88" s="302"/>
      <c r="F88" s="302"/>
      <c r="G88" s="302"/>
      <c r="H88" s="314"/>
      <c r="I88" s="303" t="e">
        <f>SUM(I82:I87)</f>
        <v>#DIV/0!</v>
      </c>
      <c r="J88" s="303" t="e">
        <f t="shared" ref="J88:R88" si="27">SUM(J82:J87)</f>
        <v>#DIV/0!</v>
      </c>
      <c r="K88" s="303" t="e">
        <f t="shared" si="27"/>
        <v>#DIV/0!</v>
      </c>
      <c r="L88" s="303" t="e">
        <f t="shared" si="27"/>
        <v>#DIV/0!</v>
      </c>
      <c r="M88" s="303" t="e">
        <f t="shared" si="27"/>
        <v>#DIV/0!</v>
      </c>
      <c r="N88" s="303" t="e">
        <f t="shared" si="27"/>
        <v>#DIV/0!</v>
      </c>
      <c r="O88" s="303" t="e">
        <f t="shared" si="27"/>
        <v>#DIV/0!</v>
      </c>
      <c r="P88" s="303" t="e">
        <f t="shared" si="27"/>
        <v>#DIV/0!</v>
      </c>
      <c r="Q88" s="303" t="e">
        <f t="shared" si="27"/>
        <v>#DIV/0!</v>
      </c>
      <c r="R88" s="305" t="e">
        <f t="shared" si="27"/>
        <v>#DIV/0!</v>
      </c>
      <c r="S88" s="247"/>
      <c r="T88" s="247"/>
      <c r="U88" s="247"/>
    </row>
    <row r="89" spans="1:21" ht="14.25" thickTop="1" x14ac:dyDescent="0.25">
      <c r="A89" s="259"/>
      <c r="B89" s="280"/>
      <c r="C89" s="256"/>
      <c r="D89" s="256"/>
      <c r="E89" s="256"/>
      <c r="F89" s="256"/>
      <c r="G89" s="256"/>
      <c r="H89" s="258"/>
      <c r="I89" s="266"/>
      <c r="J89" s="266"/>
      <c r="K89" s="266"/>
      <c r="L89" s="266"/>
      <c r="M89" s="266"/>
      <c r="N89" s="266"/>
      <c r="O89" s="266"/>
      <c r="P89" s="266"/>
      <c r="Q89" s="266"/>
      <c r="R89" s="267"/>
      <c r="S89" s="247"/>
      <c r="T89" s="247"/>
      <c r="U89" s="247"/>
    </row>
    <row r="90" spans="1:21" x14ac:dyDescent="0.25">
      <c r="A90" s="259"/>
      <c r="B90" s="280" t="s">
        <v>78</v>
      </c>
      <c r="C90" s="256" t="s">
        <v>77</v>
      </c>
      <c r="D90" s="256"/>
      <c r="E90" s="266"/>
      <c r="F90" s="266"/>
      <c r="G90" s="266"/>
      <c r="H90" s="300"/>
      <c r="I90" s="266" t="e">
        <f>I118</f>
        <v>#DIV/0!</v>
      </c>
      <c r="J90" s="266" t="e">
        <f t="shared" ref="J90:R90" si="28">I90</f>
        <v>#DIV/0!</v>
      </c>
      <c r="K90" s="266" t="e">
        <f t="shared" si="28"/>
        <v>#DIV/0!</v>
      </c>
      <c r="L90" s="266" t="e">
        <f t="shared" si="28"/>
        <v>#DIV/0!</v>
      </c>
      <c r="M90" s="266" t="e">
        <f t="shared" si="28"/>
        <v>#DIV/0!</v>
      </c>
      <c r="N90" s="266" t="e">
        <f t="shared" si="28"/>
        <v>#DIV/0!</v>
      </c>
      <c r="O90" s="266" t="e">
        <f t="shared" si="28"/>
        <v>#DIV/0!</v>
      </c>
      <c r="P90" s="266" t="e">
        <f t="shared" si="28"/>
        <v>#DIV/0!</v>
      </c>
      <c r="Q90" s="266" t="e">
        <f t="shared" si="28"/>
        <v>#DIV/0!</v>
      </c>
      <c r="R90" s="267" t="e">
        <f t="shared" si="28"/>
        <v>#DIV/0!</v>
      </c>
      <c r="S90" s="247"/>
      <c r="T90" s="247"/>
      <c r="U90" s="247"/>
    </row>
    <row r="91" spans="1:21" x14ac:dyDescent="0.25">
      <c r="A91" s="259"/>
      <c r="B91" s="280"/>
      <c r="C91" s="256" t="s">
        <v>79</v>
      </c>
      <c r="D91" s="256"/>
      <c r="E91" s="266"/>
      <c r="F91" s="266"/>
      <c r="G91" s="266"/>
      <c r="H91" s="300"/>
      <c r="I91" s="266" t="e">
        <f>I64</f>
        <v>#DIV/0!</v>
      </c>
      <c r="J91" s="266" t="e">
        <f>J64 + I91</f>
        <v>#DIV/0!</v>
      </c>
      <c r="K91" s="266" t="e">
        <f t="shared" ref="K91:R91" si="29">K64 + J91</f>
        <v>#DIV/0!</v>
      </c>
      <c r="L91" s="266" t="e">
        <f t="shared" si="29"/>
        <v>#DIV/0!</v>
      </c>
      <c r="M91" s="266" t="e">
        <f t="shared" si="29"/>
        <v>#DIV/0!</v>
      </c>
      <c r="N91" s="266" t="e">
        <f t="shared" si="29"/>
        <v>#DIV/0!</v>
      </c>
      <c r="O91" s="266" t="e">
        <f t="shared" si="29"/>
        <v>#DIV/0!</v>
      </c>
      <c r="P91" s="266" t="e">
        <f t="shared" si="29"/>
        <v>#DIV/0!</v>
      </c>
      <c r="Q91" s="266" t="e">
        <f t="shared" si="29"/>
        <v>#DIV/0!</v>
      </c>
      <c r="R91" s="267" t="e">
        <f t="shared" si="29"/>
        <v>#DIV/0!</v>
      </c>
      <c r="S91" s="247"/>
      <c r="T91" s="247"/>
      <c r="U91" s="247"/>
    </row>
    <row r="92" spans="1:21" x14ac:dyDescent="0.25">
      <c r="A92" s="259"/>
      <c r="B92" s="280"/>
      <c r="C92" s="256"/>
      <c r="D92" s="256"/>
      <c r="E92" s="256"/>
      <c r="F92" s="256"/>
      <c r="G92" s="256"/>
      <c r="H92" s="258"/>
      <c r="I92" s="266"/>
      <c r="J92" s="266"/>
      <c r="K92" s="266"/>
      <c r="L92" s="266"/>
      <c r="M92" s="266"/>
      <c r="N92" s="266"/>
      <c r="O92" s="266"/>
      <c r="P92" s="266"/>
      <c r="Q92" s="266"/>
      <c r="R92" s="267"/>
      <c r="S92" s="247"/>
      <c r="T92" s="247"/>
      <c r="U92" s="247"/>
    </row>
    <row r="93" spans="1:21" ht="14.25" thickBot="1" x14ac:dyDescent="0.3">
      <c r="A93" s="259"/>
      <c r="B93" s="301" t="s">
        <v>80</v>
      </c>
      <c r="C93" s="302"/>
      <c r="D93" s="302"/>
      <c r="E93" s="303"/>
      <c r="F93" s="303"/>
      <c r="G93" s="303"/>
      <c r="H93" s="304"/>
      <c r="I93" s="303" t="e">
        <f>SUM(I90:I91)</f>
        <v>#DIV/0!</v>
      </c>
      <c r="J93" s="303" t="e">
        <f t="shared" ref="J93:R93" si="30">SUM(J90:J91)</f>
        <v>#DIV/0!</v>
      </c>
      <c r="K93" s="303" t="e">
        <f t="shared" si="30"/>
        <v>#DIV/0!</v>
      </c>
      <c r="L93" s="303" t="e">
        <f t="shared" si="30"/>
        <v>#DIV/0!</v>
      </c>
      <c r="M93" s="303" t="e">
        <f t="shared" si="30"/>
        <v>#DIV/0!</v>
      </c>
      <c r="N93" s="303" t="e">
        <f t="shared" si="30"/>
        <v>#DIV/0!</v>
      </c>
      <c r="O93" s="303" t="e">
        <f t="shared" si="30"/>
        <v>#DIV/0!</v>
      </c>
      <c r="P93" s="303" t="e">
        <f t="shared" si="30"/>
        <v>#DIV/0!</v>
      </c>
      <c r="Q93" s="303" t="e">
        <f t="shared" si="30"/>
        <v>#DIV/0!</v>
      </c>
      <c r="R93" s="305" t="e">
        <f t="shared" si="30"/>
        <v>#DIV/0!</v>
      </c>
      <c r="S93" s="247"/>
      <c r="T93" s="247"/>
      <c r="U93" s="247"/>
    </row>
    <row r="94" spans="1:21" ht="15" thickTop="1" thickBot="1" x14ac:dyDescent="0.3">
      <c r="A94" s="259"/>
      <c r="B94" s="275" t="s">
        <v>81</v>
      </c>
      <c r="C94" s="276"/>
      <c r="D94" s="276"/>
      <c r="E94" s="276"/>
      <c r="F94" s="276"/>
      <c r="G94" s="276"/>
      <c r="H94" s="276"/>
      <c r="I94" s="315" t="e">
        <f>I80-I88-I93</f>
        <v>#DIV/0!</v>
      </c>
      <c r="J94" s="315" t="e">
        <f t="shared" ref="J94:R94" si="31">J80-J88-J93</f>
        <v>#DIV/0!</v>
      </c>
      <c r="K94" s="315" t="e">
        <f t="shared" si="31"/>
        <v>#DIV/0!</v>
      </c>
      <c r="L94" s="315" t="e">
        <f t="shared" si="31"/>
        <v>#DIV/0!</v>
      </c>
      <c r="M94" s="315" t="e">
        <f t="shared" si="31"/>
        <v>#DIV/0!</v>
      </c>
      <c r="N94" s="315" t="e">
        <f t="shared" si="31"/>
        <v>#DIV/0!</v>
      </c>
      <c r="O94" s="315" t="e">
        <f t="shared" si="31"/>
        <v>#DIV/0!</v>
      </c>
      <c r="P94" s="315" t="e">
        <f t="shared" si="31"/>
        <v>#DIV/0!</v>
      </c>
      <c r="Q94" s="315" t="e">
        <f t="shared" si="31"/>
        <v>#DIV/0!</v>
      </c>
      <c r="R94" s="316" t="e">
        <f t="shared" si="31"/>
        <v>#DIV/0!</v>
      </c>
      <c r="S94" s="247"/>
      <c r="T94" s="247"/>
      <c r="U94" s="247"/>
    </row>
    <row r="95" spans="1:21" x14ac:dyDescent="0.25">
      <c r="A95" s="259"/>
    </row>
    <row r="96" spans="1:21" x14ac:dyDescent="0.25">
      <c r="A96" s="259"/>
    </row>
    <row r="97" spans="1:21" x14ac:dyDescent="0.25">
      <c r="A97" s="259"/>
    </row>
    <row r="98" spans="1:21" x14ac:dyDescent="0.25">
      <c r="A98" s="259"/>
    </row>
    <row r="99" spans="1:21" ht="14.25" thickBot="1" x14ac:dyDescent="0.3">
      <c r="A99" s="259"/>
      <c r="I99" s="259" t="s">
        <v>19</v>
      </c>
      <c r="J99" s="259" t="s">
        <v>20</v>
      </c>
      <c r="K99" s="259" t="s">
        <v>21</v>
      </c>
      <c r="L99" s="259" t="s">
        <v>22</v>
      </c>
      <c r="M99" s="259" t="s">
        <v>23</v>
      </c>
      <c r="N99" s="259" t="s">
        <v>24</v>
      </c>
      <c r="O99" s="259" t="s">
        <v>25</v>
      </c>
      <c r="P99" s="259" t="s">
        <v>26</v>
      </c>
      <c r="Q99" s="259" t="s">
        <v>27</v>
      </c>
      <c r="R99" s="259" t="s">
        <v>28</v>
      </c>
      <c r="S99" s="247"/>
      <c r="T99" s="247"/>
      <c r="U99" s="247"/>
    </row>
    <row r="100" spans="1:21" x14ac:dyDescent="0.25">
      <c r="A100" s="259"/>
      <c r="B100" s="251" t="s">
        <v>84</v>
      </c>
      <c r="C100" s="252"/>
      <c r="D100" s="252"/>
      <c r="E100" s="283">
        <v>43100</v>
      </c>
      <c r="F100" s="283">
        <f>EOMONTH(E100,3)</f>
        <v>43190</v>
      </c>
      <c r="G100" s="283">
        <f>EOMONTH(F100,3)</f>
        <v>43281</v>
      </c>
      <c r="H100" s="284">
        <f>EOMONTH(G100,3)</f>
        <v>43373</v>
      </c>
      <c r="I100" s="285">
        <v>43465</v>
      </c>
      <c r="J100" s="285">
        <f t="shared" ref="J100:R100" si="32">EOMONTH(I100,12)</f>
        <v>43830</v>
      </c>
      <c r="K100" s="285">
        <f t="shared" si="32"/>
        <v>44196</v>
      </c>
      <c r="L100" s="285">
        <f t="shared" si="32"/>
        <v>44561</v>
      </c>
      <c r="M100" s="285">
        <f t="shared" si="32"/>
        <v>44926</v>
      </c>
      <c r="N100" s="285">
        <f t="shared" si="32"/>
        <v>45291</v>
      </c>
      <c r="O100" s="285">
        <f t="shared" si="32"/>
        <v>45657</v>
      </c>
      <c r="P100" s="285">
        <f t="shared" si="32"/>
        <v>46022</v>
      </c>
      <c r="Q100" s="285">
        <f t="shared" si="32"/>
        <v>46387</v>
      </c>
      <c r="R100" s="286">
        <f t="shared" si="32"/>
        <v>46752</v>
      </c>
      <c r="S100" s="247"/>
      <c r="T100" s="247"/>
      <c r="U100" s="247"/>
    </row>
    <row r="101" spans="1:21" x14ac:dyDescent="0.25">
      <c r="A101" s="259"/>
      <c r="B101" s="255"/>
      <c r="C101" s="256"/>
      <c r="D101" s="256"/>
      <c r="E101" s="256"/>
      <c r="F101" s="256"/>
      <c r="G101" s="256"/>
      <c r="H101" s="258"/>
      <c r="I101" s="256"/>
      <c r="J101" s="256"/>
      <c r="K101" s="256"/>
      <c r="L101" s="256"/>
      <c r="M101" s="256"/>
      <c r="N101" s="256"/>
      <c r="O101" s="256"/>
      <c r="P101" s="256"/>
      <c r="Q101" s="256"/>
      <c r="R101" s="257"/>
      <c r="S101" s="247"/>
      <c r="T101" s="247"/>
      <c r="U101" s="247"/>
    </row>
    <row r="102" spans="1:21" x14ac:dyDescent="0.25">
      <c r="A102" s="259"/>
      <c r="B102" s="280" t="s">
        <v>86</v>
      </c>
      <c r="C102" s="256" t="s">
        <v>49</v>
      </c>
      <c r="D102" s="256"/>
      <c r="E102" s="266"/>
      <c r="F102" s="266"/>
      <c r="G102" s="266"/>
      <c r="H102" s="300"/>
      <c r="I102" s="266" t="e">
        <f t="shared" ref="I102:R102" si="33">I60</f>
        <v>#DIV/0!</v>
      </c>
      <c r="J102" s="266" t="e">
        <f t="shared" si="33"/>
        <v>#DIV/0!</v>
      </c>
      <c r="K102" s="266" t="e">
        <f t="shared" si="33"/>
        <v>#DIV/0!</v>
      </c>
      <c r="L102" s="266" t="e">
        <f t="shared" si="33"/>
        <v>#DIV/0!</v>
      </c>
      <c r="M102" s="266" t="e">
        <f t="shared" si="33"/>
        <v>#DIV/0!</v>
      </c>
      <c r="N102" s="266" t="e">
        <f t="shared" si="33"/>
        <v>#DIV/0!</v>
      </c>
      <c r="O102" s="266" t="e">
        <f t="shared" si="33"/>
        <v>#DIV/0!</v>
      </c>
      <c r="P102" s="266" t="e">
        <f t="shared" si="33"/>
        <v>#DIV/0!</v>
      </c>
      <c r="Q102" s="266" t="e">
        <f t="shared" si="33"/>
        <v>#DIV/0!</v>
      </c>
      <c r="R102" s="267" t="e">
        <f t="shared" si="33"/>
        <v>#DIV/0!</v>
      </c>
      <c r="S102" s="247"/>
      <c r="T102" s="247"/>
      <c r="U102" s="247"/>
    </row>
    <row r="103" spans="1:21" x14ac:dyDescent="0.25">
      <c r="A103" s="259"/>
      <c r="B103" s="255"/>
      <c r="C103" s="256" t="s">
        <v>85</v>
      </c>
      <c r="D103" s="256"/>
      <c r="E103" s="266"/>
      <c r="F103" s="266"/>
      <c r="G103" s="266"/>
      <c r="H103" s="300"/>
      <c r="I103" s="266" t="e">
        <f>-SUM(I54:I56)</f>
        <v>#DIV/0!</v>
      </c>
      <c r="J103" s="266" t="e">
        <f t="shared" ref="J103:R103" si="34">-SUM(J54:J56)</f>
        <v>#DIV/0!</v>
      </c>
      <c r="K103" s="266" t="e">
        <f t="shared" si="34"/>
        <v>#DIV/0!</v>
      </c>
      <c r="L103" s="266" t="e">
        <f t="shared" si="34"/>
        <v>#DIV/0!</v>
      </c>
      <c r="M103" s="266" t="e">
        <f t="shared" si="34"/>
        <v>#DIV/0!</v>
      </c>
      <c r="N103" s="266" t="e">
        <f t="shared" si="34"/>
        <v>#DIV/0!</v>
      </c>
      <c r="O103" s="266" t="e">
        <f t="shared" si="34"/>
        <v>#DIV/0!</v>
      </c>
      <c r="P103" s="266" t="e">
        <f t="shared" si="34"/>
        <v>#DIV/0!</v>
      </c>
      <c r="Q103" s="266" t="e">
        <f t="shared" si="34"/>
        <v>#DIV/0!</v>
      </c>
      <c r="R103" s="267" t="e">
        <f t="shared" si="34"/>
        <v>#DIV/0!</v>
      </c>
      <c r="S103" s="247"/>
      <c r="T103" s="247"/>
      <c r="U103" s="247"/>
    </row>
    <row r="104" spans="1:21" x14ac:dyDescent="0.25">
      <c r="A104" s="259"/>
      <c r="B104" s="255"/>
      <c r="C104" s="256" t="s">
        <v>95</v>
      </c>
      <c r="D104" s="256"/>
      <c r="E104" s="266"/>
      <c r="F104" s="266"/>
      <c r="G104" s="266"/>
      <c r="H104" s="300"/>
      <c r="I104" s="266">
        <f t="shared" ref="I104:R104" si="35">-I57</f>
        <v>0</v>
      </c>
      <c r="J104" s="266" t="e">
        <f t="shared" si="35"/>
        <v>#DIV/0!</v>
      </c>
      <c r="K104" s="266" t="e">
        <f t="shared" si="35"/>
        <v>#DIV/0!</v>
      </c>
      <c r="L104" s="266" t="e">
        <f t="shared" si="35"/>
        <v>#DIV/0!</v>
      </c>
      <c r="M104" s="266" t="e">
        <f t="shared" si="35"/>
        <v>#DIV/0!</v>
      </c>
      <c r="N104" s="266" t="e">
        <f t="shared" si="35"/>
        <v>#DIV/0!</v>
      </c>
      <c r="O104" s="266" t="e">
        <f t="shared" si="35"/>
        <v>#DIV/0!</v>
      </c>
      <c r="P104" s="266" t="e">
        <f t="shared" si="35"/>
        <v>#DIV/0!</v>
      </c>
      <c r="Q104" s="266" t="e">
        <f t="shared" si="35"/>
        <v>#DIV/0!</v>
      </c>
      <c r="R104" s="267" t="e">
        <f t="shared" si="35"/>
        <v>#DIV/0!</v>
      </c>
      <c r="S104" s="247"/>
      <c r="T104" s="247"/>
      <c r="U104" s="247"/>
    </row>
    <row r="105" spans="1:21" x14ac:dyDescent="0.25">
      <c r="A105" s="259"/>
      <c r="B105" s="255"/>
      <c r="C105" s="256"/>
      <c r="D105" s="256"/>
      <c r="E105" s="256"/>
      <c r="F105" s="256"/>
      <c r="G105" s="256"/>
      <c r="H105" s="258"/>
      <c r="I105" s="256"/>
      <c r="J105" s="256"/>
      <c r="K105" s="256"/>
      <c r="L105" s="256"/>
      <c r="M105" s="256"/>
      <c r="N105" s="256"/>
      <c r="O105" s="256"/>
      <c r="P105" s="256"/>
      <c r="Q105" s="256"/>
      <c r="R105" s="257"/>
      <c r="S105" s="247"/>
      <c r="T105" s="247"/>
      <c r="U105" s="247"/>
    </row>
    <row r="106" spans="1:21" x14ac:dyDescent="0.25">
      <c r="A106" s="259"/>
      <c r="B106" s="255"/>
      <c r="C106" s="256" t="s">
        <v>87</v>
      </c>
      <c r="D106" s="256"/>
      <c r="E106" s="266"/>
      <c r="F106" s="266"/>
      <c r="G106" s="256"/>
      <c r="H106" s="258"/>
      <c r="I106" s="266" t="e">
        <f>-SUM(I73:I74)</f>
        <v>#DIV/0!</v>
      </c>
      <c r="J106" s="266" t="e">
        <f>SUM(I73:I74) - SUM(J73:J74)</f>
        <v>#DIV/0!</v>
      </c>
      <c r="K106" s="266" t="e">
        <f t="shared" ref="K106:R106" si="36">SUM(J73:J74) - SUM(K73:K74)</f>
        <v>#DIV/0!</v>
      </c>
      <c r="L106" s="266" t="e">
        <f t="shared" si="36"/>
        <v>#DIV/0!</v>
      </c>
      <c r="M106" s="266" t="e">
        <f t="shared" si="36"/>
        <v>#DIV/0!</v>
      </c>
      <c r="N106" s="266" t="e">
        <f t="shared" si="36"/>
        <v>#DIV/0!</v>
      </c>
      <c r="O106" s="266" t="e">
        <f t="shared" si="36"/>
        <v>#DIV/0!</v>
      </c>
      <c r="P106" s="266" t="e">
        <f t="shared" si="36"/>
        <v>#DIV/0!</v>
      </c>
      <c r="Q106" s="266" t="e">
        <f t="shared" si="36"/>
        <v>#DIV/0!</v>
      </c>
      <c r="R106" s="267" t="e">
        <f t="shared" si="36"/>
        <v>#DIV/0!</v>
      </c>
      <c r="S106" s="247"/>
      <c r="T106" s="247"/>
      <c r="U106" s="247"/>
    </row>
    <row r="107" spans="1:21" x14ac:dyDescent="0.25">
      <c r="A107" s="259"/>
      <c r="B107" s="255"/>
      <c r="C107" s="256"/>
      <c r="D107" s="256"/>
      <c r="E107" s="256"/>
      <c r="F107" s="256"/>
      <c r="G107" s="256"/>
      <c r="H107" s="258"/>
      <c r="I107" s="256"/>
      <c r="J107" s="256"/>
      <c r="K107" s="256"/>
      <c r="L107" s="256"/>
      <c r="M107" s="256"/>
      <c r="N107" s="256"/>
      <c r="O107" s="256"/>
      <c r="P107" s="256"/>
      <c r="Q107" s="256"/>
      <c r="R107" s="257"/>
      <c r="S107" s="247"/>
      <c r="T107" s="247"/>
      <c r="U107" s="247"/>
    </row>
    <row r="108" spans="1:21" ht="14.25" thickBot="1" x14ac:dyDescent="0.3">
      <c r="A108" s="259"/>
      <c r="B108" s="317" t="s">
        <v>88</v>
      </c>
      <c r="C108" s="302"/>
      <c r="D108" s="302"/>
      <c r="E108" s="303"/>
      <c r="F108" s="303"/>
      <c r="G108" s="303"/>
      <c r="H108" s="304"/>
      <c r="I108" s="303" t="e">
        <f t="shared" ref="I108:R108" si="37">SUM(I102:I106)</f>
        <v>#DIV/0!</v>
      </c>
      <c r="J108" s="303" t="e">
        <f t="shared" si="37"/>
        <v>#DIV/0!</v>
      </c>
      <c r="K108" s="303" t="e">
        <f t="shared" si="37"/>
        <v>#DIV/0!</v>
      </c>
      <c r="L108" s="303" t="e">
        <f t="shared" si="37"/>
        <v>#DIV/0!</v>
      </c>
      <c r="M108" s="303" t="e">
        <f t="shared" si="37"/>
        <v>#DIV/0!</v>
      </c>
      <c r="N108" s="303" t="e">
        <f t="shared" si="37"/>
        <v>#DIV/0!</v>
      </c>
      <c r="O108" s="303" t="e">
        <f t="shared" si="37"/>
        <v>#DIV/0!</v>
      </c>
      <c r="P108" s="303" t="e">
        <f t="shared" si="37"/>
        <v>#DIV/0!</v>
      </c>
      <c r="Q108" s="303" t="e">
        <f t="shared" si="37"/>
        <v>#DIV/0!</v>
      </c>
      <c r="R108" s="305" t="e">
        <f t="shared" si="37"/>
        <v>#DIV/0!</v>
      </c>
      <c r="S108" s="247"/>
      <c r="T108" s="247"/>
      <c r="U108" s="247"/>
    </row>
    <row r="109" spans="1:21" ht="14.25" thickTop="1" x14ac:dyDescent="0.25">
      <c r="A109" s="259"/>
      <c r="B109" s="255"/>
      <c r="C109" s="256"/>
      <c r="D109" s="256"/>
      <c r="E109" s="256"/>
      <c r="F109" s="256"/>
      <c r="G109" s="256"/>
      <c r="H109" s="258"/>
      <c r="I109" s="256"/>
      <c r="J109" s="256"/>
      <c r="K109" s="256"/>
      <c r="L109" s="256"/>
      <c r="M109" s="256"/>
      <c r="N109" s="256"/>
      <c r="O109" s="256"/>
      <c r="P109" s="256"/>
      <c r="Q109" s="256"/>
      <c r="R109" s="257"/>
      <c r="S109" s="247"/>
      <c r="T109" s="247"/>
      <c r="U109" s="247"/>
    </row>
    <row r="110" spans="1:21" x14ac:dyDescent="0.25">
      <c r="A110" s="259"/>
      <c r="B110" s="280" t="s">
        <v>89</v>
      </c>
      <c r="C110" s="256" t="s">
        <v>129</v>
      </c>
      <c r="D110" s="256"/>
      <c r="E110" s="266"/>
      <c r="F110" s="266"/>
      <c r="G110" s="266"/>
      <c r="H110" s="300"/>
      <c r="I110" s="266" t="e">
        <f t="shared" ref="I110:R110" si="38">I197</f>
        <v>#DIV/0!</v>
      </c>
      <c r="J110" s="266">
        <f t="shared" si="38"/>
        <v>0</v>
      </c>
      <c r="K110" s="266">
        <f t="shared" si="38"/>
        <v>0</v>
      </c>
      <c r="L110" s="266">
        <f t="shared" si="38"/>
        <v>0</v>
      </c>
      <c r="M110" s="266">
        <f t="shared" si="38"/>
        <v>0</v>
      </c>
      <c r="N110" s="266">
        <f t="shared" si="38"/>
        <v>0</v>
      </c>
      <c r="O110" s="266">
        <f t="shared" si="38"/>
        <v>0</v>
      </c>
      <c r="P110" s="266">
        <f t="shared" si="38"/>
        <v>0</v>
      </c>
      <c r="Q110" s="266">
        <f t="shared" si="38"/>
        <v>0</v>
      </c>
      <c r="R110" s="267">
        <f t="shared" si="38"/>
        <v>0</v>
      </c>
      <c r="S110" s="247"/>
      <c r="T110" s="247"/>
      <c r="U110" s="247"/>
    </row>
    <row r="111" spans="1:21" x14ac:dyDescent="0.25">
      <c r="A111" s="259"/>
      <c r="B111" s="255"/>
      <c r="C111" s="256" t="s">
        <v>90</v>
      </c>
      <c r="D111" s="256"/>
      <c r="E111" s="266"/>
      <c r="F111" s="266"/>
      <c r="G111" s="266"/>
      <c r="H111" s="300"/>
      <c r="I111" s="266">
        <f t="shared" ref="I111:R111" si="39">I199</f>
        <v>0</v>
      </c>
      <c r="J111" s="266">
        <f t="shared" si="39"/>
        <v>0</v>
      </c>
      <c r="K111" s="266">
        <f t="shared" si="39"/>
        <v>0</v>
      </c>
      <c r="L111" s="266">
        <f t="shared" si="39"/>
        <v>0</v>
      </c>
      <c r="M111" s="266">
        <f t="shared" si="39"/>
        <v>0</v>
      </c>
      <c r="N111" s="266">
        <f t="shared" si="39"/>
        <v>0</v>
      </c>
      <c r="O111" s="266">
        <f t="shared" si="39"/>
        <v>0</v>
      </c>
      <c r="P111" s="266">
        <f t="shared" si="39"/>
        <v>0</v>
      </c>
      <c r="Q111" s="266">
        <f t="shared" si="39"/>
        <v>0</v>
      </c>
      <c r="R111" s="267">
        <f t="shared" si="39"/>
        <v>0</v>
      </c>
      <c r="S111" s="247"/>
      <c r="T111" s="247"/>
      <c r="U111" s="247"/>
    </row>
    <row r="112" spans="1:21" x14ac:dyDescent="0.25">
      <c r="A112" s="259"/>
      <c r="B112" s="255"/>
      <c r="C112" s="256" t="s">
        <v>153</v>
      </c>
      <c r="D112" s="256"/>
      <c r="E112" s="266"/>
      <c r="F112" s="266"/>
      <c r="G112" s="266"/>
      <c r="H112" s="300"/>
      <c r="I112" s="266" t="e">
        <f>I203</f>
        <v>#DIV/0!</v>
      </c>
      <c r="J112" s="266"/>
      <c r="K112" s="266"/>
      <c r="L112" s="266"/>
      <c r="M112" s="266"/>
      <c r="N112" s="266"/>
      <c r="O112" s="266"/>
      <c r="P112" s="266"/>
      <c r="Q112" s="266"/>
      <c r="R112" s="267"/>
      <c r="S112" s="247"/>
      <c r="T112" s="247"/>
      <c r="U112" s="247"/>
    </row>
    <row r="113" spans="1:21" x14ac:dyDescent="0.25">
      <c r="A113" s="259"/>
      <c r="B113" s="255"/>
      <c r="C113" s="256"/>
      <c r="D113" s="256"/>
      <c r="E113" s="266"/>
      <c r="F113" s="266"/>
      <c r="G113" s="266"/>
      <c r="H113" s="300"/>
      <c r="I113" s="266"/>
      <c r="J113" s="266"/>
      <c r="K113" s="266"/>
      <c r="L113" s="266"/>
      <c r="M113" s="266"/>
      <c r="N113" s="266"/>
      <c r="O113" s="266"/>
      <c r="P113" s="266"/>
      <c r="Q113" s="266"/>
      <c r="R113" s="267"/>
      <c r="S113" s="247"/>
      <c r="T113" s="247"/>
      <c r="U113" s="247"/>
    </row>
    <row r="114" spans="1:21" x14ac:dyDescent="0.25">
      <c r="A114" s="259"/>
      <c r="B114" s="255"/>
      <c r="C114" s="271" t="s">
        <v>157</v>
      </c>
      <c r="D114" s="256"/>
      <c r="E114" s="266"/>
      <c r="F114" s="266"/>
      <c r="G114" s="266"/>
      <c r="H114" s="300"/>
      <c r="I114" s="266" t="e">
        <f>I207</f>
        <v>#DIV/0!</v>
      </c>
      <c r="J114" s="266" t="e">
        <f t="shared" ref="J114:R114" si="40">J207</f>
        <v>#DIV/0!</v>
      </c>
      <c r="K114" s="266" t="e">
        <f t="shared" si="40"/>
        <v>#DIV/0!</v>
      </c>
      <c r="L114" s="266" t="e">
        <f t="shared" si="40"/>
        <v>#DIV/0!</v>
      </c>
      <c r="M114" s="266" t="e">
        <f t="shared" si="40"/>
        <v>#DIV/0!</v>
      </c>
      <c r="N114" s="266" t="e">
        <f t="shared" si="40"/>
        <v>#DIV/0!</v>
      </c>
      <c r="O114" s="266" t="e">
        <f t="shared" si="40"/>
        <v>#DIV/0!</v>
      </c>
      <c r="P114" s="266" t="e">
        <f t="shared" si="40"/>
        <v>#DIV/0!</v>
      </c>
      <c r="Q114" s="266" t="e">
        <f t="shared" si="40"/>
        <v>#DIV/0!</v>
      </c>
      <c r="R114" s="267" t="e">
        <f t="shared" si="40"/>
        <v>#DIV/0!</v>
      </c>
      <c r="S114" s="247"/>
      <c r="T114" s="247"/>
      <c r="U114" s="247"/>
    </row>
    <row r="115" spans="1:21" x14ac:dyDescent="0.25">
      <c r="A115" s="259"/>
      <c r="B115" s="255"/>
      <c r="C115" s="256"/>
      <c r="D115" s="256"/>
      <c r="E115" s="256"/>
      <c r="F115" s="256"/>
      <c r="G115" s="256"/>
      <c r="H115" s="258"/>
      <c r="I115" s="256"/>
      <c r="J115" s="256"/>
      <c r="K115" s="256"/>
      <c r="L115" s="256"/>
      <c r="M115" s="256"/>
      <c r="N115" s="256"/>
      <c r="O115" s="256"/>
      <c r="P115" s="256"/>
      <c r="Q115" s="256"/>
      <c r="R115" s="257"/>
      <c r="S115" s="247"/>
      <c r="T115" s="247"/>
      <c r="U115" s="247"/>
    </row>
    <row r="116" spans="1:21" ht="14.25" thickBot="1" x14ac:dyDescent="0.3">
      <c r="A116" s="259"/>
      <c r="B116" s="318" t="s">
        <v>92</v>
      </c>
      <c r="C116" s="302"/>
      <c r="D116" s="302"/>
      <c r="E116" s="303"/>
      <c r="F116" s="303"/>
      <c r="G116" s="303"/>
      <c r="H116" s="304"/>
      <c r="I116" s="303" t="e">
        <f t="shared" ref="I116:R116" si="41">SUM(I110:I114)</f>
        <v>#DIV/0!</v>
      </c>
      <c r="J116" s="303" t="e">
        <f t="shared" si="41"/>
        <v>#DIV/0!</v>
      </c>
      <c r="K116" s="303" t="e">
        <f t="shared" si="41"/>
        <v>#DIV/0!</v>
      </c>
      <c r="L116" s="303" t="e">
        <f t="shared" si="41"/>
        <v>#DIV/0!</v>
      </c>
      <c r="M116" s="303" t="e">
        <f t="shared" si="41"/>
        <v>#DIV/0!</v>
      </c>
      <c r="N116" s="303" t="e">
        <f t="shared" si="41"/>
        <v>#DIV/0!</v>
      </c>
      <c r="O116" s="303" t="e">
        <f t="shared" si="41"/>
        <v>#DIV/0!</v>
      </c>
      <c r="P116" s="303" t="e">
        <f t="shared" si="41"/>
        <v>#DIV/0!</v>
      </c>
      <c r="Q116" s="303" t="e">
        <f t="shared" si="41"/>
        <v>#DIV/0!</v>
      </c>
      <c r="R116" s="305" t="e">
        <f t="shared" si="41"/>
        <v>#DIV/0!</v>
      </c>
      <c r="S116" s="247"/>
      <c r="T116" s="247"/>
      <c r="U116" s="247"/>
    </row>
    <row r="117" spans="1:21" ht="14.25" thickTop="1" x14ac:dyDescent="0.25">
      <c r="A117" s="259"/>
      <c r="B117" s="255"/>
      <c r="C117" s="256"/>
      <c r="D117" s="256"/>
      <c r="E117" s="256"/>
      <c r="F117" s="256"/>
      <c r="G117" s="256"/>
      <c r="H117" s="258"/>
      <c r="I117" s="256"/>
      <c r="J117" s="256"/>
      <c r="K117" s="256"/>
      <c r="L117" s="256"/>
      <c r="M117" s="256"/>
      <c r="N117" s="256"/>
      <c r="O117" s="256"/>
      <c r="P117" s="256"/>
      <c r="Q117" s="256"/>
      <c r="R117" s="257"/>
      <c r="S117" s="247"/>
      <c r="T117" s="247"/>
      <c r="U117" s="247"/>
    </row>
    <row r="118" spans="1:21" x14ac:dyDescent="0.25">
      <c r="A118" s="259"/>
      <c r="B118" s="255" t="s">
        <v>91</v>
      </c>
      <c r="C118" s="256" t="s">
        <v>93</v>
      </c>
      <c r="D118" s="256"/>
      <c r="E118" s="266"/>
      <c r="F118" s="266"/>
      <c r="G118" s="266"/>
      <c r="H118" s="300"/>
      <c r="I118" s="312" t="e">
        <f>-SUM(I110:I112)*$I$16</f>
        <v>#DIV/0!</v>
      </c>
      <c r="J118" s="266">
        <v>0</v>
      </c>
      <c r="K118" s="266">
        <v>0</v>
      </c>
      <c r="L118" s="266">
        <v>0</v>
      </c>
      <c r="M118" s="266">
        <v>0</v>
      </c>
      <c r="N118" s="266">
        <v>0</v>
      </c>
      <c r="O118" s="266">
        <v>0</v>
      </c>
      <c r="P118" s="266">
        <v>0</v>
      </c>
      <c r="Q118" s="266">
        <v>0</v>
      </c>
      <c r="R118" s="267">
        <v>0</v>
      </c>
      <c r="S118" s="247"/>
      <c r="T118" s="247"/>
      <c r="U118" s="247"/>
    </row>
    <row r="119" spans="1:21" x14ac:dyDescent="0.25">
      <c r="A119" s="259"/>
      <c r="B119" s="255"/>
      <c r="C119" s="256"/>
      <c r="D119" s="256"/>
      <c r="E119" s="256"/>
      <c r="F119" s="256"/>
      <c r="G119" s="312"/>
      <c r="H119" s="258"/>
      <c r="I119" s="256"/>
      <c r="J119" s="256"/>
      <c r="K119" s="256"/>
      <c r="L119" s="256"/>
      <c r="M119" s="256"/>
      <c r="N119" s="256"/>
      <c r="O119" s="256"/>
      <c r="P119" s="256"/>
      <c r="Q119" s="256"/>
      <c r="R119" s="257"/>
      <c r="S119" s="247"/>
      <c r="T119" s="247"/>
      <c r="U119" s="247"/>
    </row>
    <row r="120" spans="1:21" x14ac:dyDescent="0.25">
      <c r="A120" s="259"/>
      <c r="B120" s="255"/>
      <c r="C120" s="271" t="s">
        <v>112</v>
      </c>
      <c r="D120" s="256"/>
      <c r="E120" s="256"/>
      <c r="F120" s="256"/>
      <c r="G120" s="256"/>
      <c r="H120" s="258"/>
      <c r="I120" s="266" t="e">
        <f>I170</f>
        <v>#DIV/0!</v>
      </c>
      <c r="J120" s="266" t="e">
        <f t="shared" ref="J120:R120" si="42">J170</f>
        <v>#DIV/0!</v>
      </c>
      <c r="K120" s="266" t="e">
        <f t="shared" si="42"/>
        <v>#DIV/0!</v>
      </c>
      <c r="L120" s="266" t="e">
        <f t="shared" si="42"/>
        <v>#DIV/0!</v>
      </c>
      <c r="M120" s="266" t="e">
        <f t="shared" si="42"/>
        <v>#DIV/0!</v>
      </c>
      <c r="N120" s="266" t="e">
        <f t="shared" si="42"/>
        <v>#DIV/0!</v>
      </c>
      <c r="O120" s="266" t="e">
        <f t="shared" si="42"/>
        <v>#DIV/0!</v>
      </c>
      <c r="P120" s="266" t="e">
        <f t="shared" si="42"/>
        <v>#DIV/0!</v>
      </c>
      <c r="Q120" s="266" t="e">
        <f t="shared" si="42"/>
        <v>#DIV/0!</v>
      </c>
      <c r="R120" s="267" t="e">
        <f t="shared" si="42"/>
        <v>#DIV/0!</v>
      </c>
      <c r="S120" s="247"/>
      <c r="T120" s="247"/>
      <c r="U120" s="247"/>
    </row>
    <row r="121" spans="1:21" x14ac:dyDescent="0.25">
      <c r="A121" s="259"/>
      <c r="B121" s="255"/>
      <c r="C121" s="271" t="s">
        <v>113</v>
      </c>
      <c r="D121" s="256"/>
      <c r="E121" s="256"/>
      <c r="F121" s="256"/>
      <c r="G121" s="256"/>
      <c r="H121" s="258"/>
      <c r="I121" s="266">
        <f>I57</f>
        <v>0</v>
      </c>
      <c r="J121" s="266" t="e">
        <f t="shared" ref="J121:R121" si="43">J172</f>
        <v>#DIV/0!</v>
      </c>
      <c r="K121" s="266" t="e">
        <f t="shared" si="43"/>
        <v>#DIV/0!</v>
      </c>
      <c r="L121" s="266" t="e">
        <f t="shared" si="43"/>
        <v>#DIV/0!</v>
      </c>
      <c r="M121" s="266" t="e">
        <f t="shared" si="43"/>
        <v>#DIV/0!</v>
      </c>
      <c r="N121" s="266" t="e">
        <f t="shared" si="43"/>
        <v>#DIV/0!</v>
      </c>
      <c r="O121" s="266" t="e">
        <f t="shared" si="43"/>
        <v>#DIV/0!</v>
      </c>
      <c r="P121" s="266" t="e">
        <f t="shared" si="43"/>
        <v>#DIV/0!</v>
      </c>
      <c r="Q121" s="266" t="e">
        <f t="shared" si="43"/>
        <v>#DIV/0!</v>
      </c>
      <c r="R121" s="267" t="e">
        <f t="shared" si="43"/>
        <v>#DIV/0!</v>
      </c>
      <c r="S121" s="247"/>
      <c r="T121" s="247"/>
      <c r="U121" s="247"/>
    </row>
    <row r="122" spans="1:21" x14ac:dyDescent="0.25">
      <c r="A122" s="259"/>
      <c r="B122" s="255"/>
      <c r="C122" s="271" t="s">
        <v>114</v>
      </c>
      <c r="D122" s="256"/>
      <c r="E122" s="256"/>
      <c r="F122" s="256"/>
      <c r="G122" s="256"/>
      <c r="H122" s="258"/>
      <c r="I122" s="266">
        <f>I171</f>
        <v>0</v>
      </c>
      <c r="J122" s="266" t="e">
        <f t="shared" ref="J122:R122" si="44">J171</f>
        <v>#DIV/0!</v>
      </c>
      <c r="K122" s="266" t="e">
        <f t="shared" si="44"/>
        <v>#DIV/0!</v>
      </c>
      <c r="L122" s="266" t="e">
        <f t="shared" si="44"/>
        <v>#DIV/0!</v>
      </c>
      <c r="M122" s="266" t="e">
        <f t="shared" si="44"/>
        <v>#DIV/0!</v>
      </c>
      <c r="N122" s="266" t="e">
        <f t="shared" si="44"/>
        <v>#DIV/0!</v>
      </c>
      <c r="O122" s="266" t="e">
        <f t="shared" si="44"/>
        <v>#DIV/0!</v>
      </c>
      <c r="P122" s="266" t="e">
        <f t="shared" si="44"/>
        <v>#DIV/0!</v>
      </c>
      <c r="Q122" s="266" t="e">
        <f t="shared" si="44"/>
        <v>#DIV/0!</v>
      </c>
      <c r="R122" s="267" t="e">
        <f t="shared" si="44"/>
        <v>#DIV/0!</v>
      </c>
      <c r="S122" s="247"/>
      <c r="T122" s="247"/>
      <c r="U122" s="247"/>
    </row>
    <row r="123" spans="1:21" x14ac:dyDescent="0.25">
      <c r="A123" s="259"/>
      <c r="B123" s="255"/>
      <c r="C123" s="271"/>
      <c r="D123" s="256"/>
      <c r="E123" s="256"/>
      <c r="F123" s="256"/>
      <c r="G123" s="256"/>
      <c r="H123" s="258"/>
      <c r="I123" s="266"/>
      <c r="J123" s="266"/>
      <c r="K123" s="266"/>
      <c r="L123" s="266"/>
      <c r="M123" s="266"/>
      <c r="N123" s="266"/>
      <c r="O123" s="266"/>
      <c r="P123" s="266"/>
      <c r="Q123" s="266"/>
      <c r="R123" s="267"/>
      <c r="S123" s="247"/>
      <c r="T123" s="247"/>
      <c r="U123" s="247"/>
    </row>
    <row r="124" spans="1:21" x14ac:dyDescent="0.25">
      <c r="A124" s="259"/>
      <c r="B124" s="255"/>
      <c r="C124" s="271" t="s">
        <v>120</v>
      </c>
      <c r="D124" s="256"/>
      <c r="E124" s="256"/>
      <c r="F124" s="256"/>
      <c r="G124" s="256"/>
      <c r="H124" s="258"/>
      <c r="I124" s="266">
        <f t="shared" ref="I124:R124" si="45">I62</f>
        <v>0</v>
      </c>
      <c r="J124" s="266">
        <f t="shared" si="45"/>
        <v>0</v>
      </c>
      <c r="K124" s="266">
        <f t="shared" si="45"/>
        <v>0</v>
      </c>
      <c r="L124" s="266">
        <f t="shared" si="45"/>
        <v>0</v>
      </c>
      <c r="M124" s="266">
        <f t="shared" si="45"/>
        <v>0</v>
      </c>
      <c r="N124" s="266">
        <f t="shared" si="45"/>
        <v>0</v>
      </c>
      <c r="O124" s="266">
        <f t="shared" si="45"/>
        <v>0</v>
      </c>
      <c r="P124" s="266">
        <f t="shared" si="45"/>
        <v>0</v>
      </c>
      <c r="Q124" s="266">
        <f t="shared" si="45"/>
        <v>0</v>
      </c>
      <c r="R124" s="267">
        <f t="shared" si="45"/>
        <v>0</v>
      </c>
      <c r="S124" s="247"/>
      <c r="T124" s="247"/>
      <c r="U124" s="247"/>
    </row>
    <row r="125" spans="1:21" x14ac:dyDescent="0.25">
      <c r="A125" s="259"/>
      <c r="B125" s="255"/>
      <c r="C125" s="256"/>
      <c r="D125" s="256"/>
      <c r="E125" s="256"/>
      <c r="F125" s="256"/>
      <c r="G125" s="256"/>
      <c r="H125" s="258"/>
      <c r="I125" s="256"/>
      <c r="J125" s="256"/>
      <c r="K125" s="256"/>
      <c r="L125" s="256"/>
      <c r="M125" s="256"/>
      <c r="N125" s="256"/>
      <c r="O125" s="256"/>
      <c r="P125" s="256"/>
      <c r="Q125" s="256"/>
      <c r="R125" s="257"/>
      <c r="S125" s="247"/>
      <c r="T125" s="247"/>
      <c r="U125" s="247"/>
    </row>
    <row r="126" spans="1:21" ht="14.25" thickBot="1" x14ac:dyDescent="0.3">
      <c r="A126" s="259"/>
      <c r="B126" s="317" t="s">
        <v>97</v>
      </c>
      <c r="C126" s="302"/>
      <c r="D126" s="302"/>
      <c r="E126" s="303"/>
      <c r="F126" s="303"/>
      <c r="G126" s="303"/>
      <c r="H126" s="304"/>
      <c r="I126" s="303" t="e">
        <f t="shared" ref="I126:R126" si="46">SUM(I118:I125)</f>
        <v>#DIV/0!</v>
      </c>
      <c r="J126" s="303" t="e">
        <f t="shared" si="46"/>
        <v>#DIV/0!</v>
      </c>
      <c r="K126" s="303" t="e">
        <f t="shared" si="46"/>
        <v>#DIV/0!</v>
      </c>
      <c r="L126" s="303" t="e">
        <f t="shared" si="46"/>
        <v>#DIV/0!</v>
      </c>
      <c r="M126" s="303" t="e">
        <f t="shared" si="46"/>
        <v>#DIV/0!</v>
      </c>
      <c r="N126" s="303" t="e">
        <f t="shared" si="46"/>
        <v>#DIV/0!</v>
      </c>
      <c r="O126" s="303" t="e">
        <f t="shared" si="46"/>
        <v>#DIV/0!</v>
      </c>
      <c r="P126" s="303" t="e">
        <f t="shared" si="46"/>
        <v>#DIV/0!</v>
      </c>
      <c r="Q126" s="303" t="e">
        <f t="shared" si="46"/>
        <v>#DIV/0!</v>
      </c>
      <c r="R126" s="305" t="e">
        <f t="shared" si="46"/>
        <v>#DIV/0!</v>
      </c>
      <c r="S126" s="247"/>
      <c r="T126" s="247"/>
      <c r="U126" s="247"/>
    </row>
    <row r="127" spans="1:21" ht="14.25" thickTop="1" x14ac:dyDescent="0.25">
      <c r="A127" s="259"/>
      <c r="B127" s="255"/>
      <c r="C127" s="256"/>
      <c r="D127" s="256"/>
      <c r="E127" s="256"/>
      <c r="F127" s="256"/>
      <c r="G127" s="256"/>
      <c r="H127" s="258"/>
      <c r="I127" s="256"/>
      <c r="J127" s="256"/>
      <c r="K127" s="256"/>
      <c r="L127" s="256"/>
      <c r="M127" s="256"/>
      <c r="N127" s="256"/>
      <c r="O127" s="256"/>
      <c r="P127" s="256"/>
      <c r="Q127" s="256"/>
      <c r="R127" s="257"/>
      <c r="S127" s="247"/>
      <c r="T127" s="247"/>
      <c r="U127" s="247"/>
    </row>
    <row r="128" spans="1:21" ht="14.25" thickBot="1" x14ac:dyDescent="0.3">
      <c r="A128" s="259"/>
      <c r="B128" s="317" t="s">
        <v>100</v>
      </c>
      <c r="C128" s="302"/>
      <c r="D128" s="302"/>
      <c r="E128" s="303"/>
      <c r="F128" s="303"/>
      <c r="G128" s="303"/>
      <c r="H128" s="304"/>
      <c r="I128" s="303" t="e">
        <f t="shared" ref="I128:R128" si="47">I108+I116+I126</f>
        <v>#DIV/0!</v>
      </c>
      <c r="J128" s="303" t="e">
        <f t="shared" si="47"/>
        <v>#DIV/0!</v>
      </c>
      <c r="K128" s="303" t="e">
        <f t="shared" si="47"/>
        <v>#DIV/0!</v>
      </c>
      <c r="L128" s="303" t="e">
        <f t="shared" si="47"/>
        <v>#DIV/0!</v>
      </c>
      <c r="M128" s="303" t="e">
        <f t="shared" si="47"/>
        <v>#DIV/0!</v>
      </c>
      <c r="N128" s="303" t="e">
        <f t="shared" si="47"/>
        <v>#DIV/0!</v>
      </c>
      <c r="O128" s="303" t="e">
        <f t="shared" si="47"/>
        <v>#DIV/0!</v>
      </c>
      <c r="P128" s="303" t="e">
        <f t="shared" si="47"/>
        <v>#DIV/0!</v>
      </c>
      <c r="Q128" s="303" t="e">
        <f t="shared" si="47"/>
        <v>#DIV/0!</v>
      </c>
      <c r="R128" s="305" t="e">
        <f t="shared" si="47"/>
        <v>#DIV/0!</v>
      </c>
      <c r="S128" s="247"/>
      <c r="T128" s="247"/>
      <c r="U128" s="247"/>
    </row>
    <row r="129" spans="1:21" ht="14.25" thickTop="1" x14ac:dyDescent="0.25">
      <c r="A129" s="259"/>
      <c r="B129" s="255"/>
      <c r="C129" s="256"/>
      <c r="D129" s="256"/>
      <c r="E129" s="256"/>
      <c r="F129" s="256"/>
      <c r="G129" s="256"/>
      <c r="H129" s="258"/>
      <c r="I129" s="256"/>
      <c r="J129" s="256"/>
      <c r="K129" s="256"/>
      <c r="L129" s="256"/>
      <c r="M129" s="256"/>
      <c r="N129" s="256"/>
      <c r="O129" s="256"/>
      <c r="P129" s="256"/>
      <c r="Q129" s="256"/>
      <c r="R129" s="257"/>
      <c r="S129" s="247"/>
      <c r="T129" s="247"/>
      <c r="U129" s="247"/>
    </row>
    <row r="130" spans="1:21" x14ac:dyDescent="0.25">
      <c r="A130" s="259"/>
      <c r="B130" s="255" t="s">
        <v>98</v>
      </c>
      <c r="C130" s="256"/>
      <c r="D130" s="256"/>
      <c r="E130" s="266"/>
      <c r="F130" s="266"/>
      <c r="G130" s="266"/>
      <c r="H130" s="300"/>
      <c r="I130" s="266">
        <f>E130</f>
        <v>0</v>
      </c>
      <c r="J130" s="266" t="e">
        <f t="shared" ref="J130:R130" si="48">I131</f>
        <v>#DIV/0!</v>
      </c>
      <c r="K130" s="266" t="e">
        <f t="shared" si="48"/>
        <v>#DIV/0!</v>
      </c>
      <c r="L130" s="266" t="e">
        <f t="shared" si="48"/>
        <v>#DIV/0!</v>
      </c>
      <c r="M130" s="266" t="e">
        <f t="shared" si="48"/>
        <v>#DIV/0!</v>
      </c>
      <c r="N130" s="266" t="e">
        <f t="shared" si="48"/>
        <v>#DIV/0!</v>
      </c>
      <c r="O130" s="266" t="e">
        <f t="shared" si="48"/>
        <v>#DIV/0!</v>
      </c>
      <c r="P130" s="266" t="e">
        <f t="shared" si="48"/>
        <v>#DIV/0!</v>
      </c>
      <c r="Q130" s="266" t="e">
        <f t="shared" si="48"/>
        <v>#DIV/0!</v>
      </c>
      <c r="R130" s="267" t="e">
        <f t="shared" si="48"/>
        <v>#DIV/0!</v>
      </c>
      <c r="S130" s="247"/>
      <c r="T130" s="247"/>
      <c r="U130" s="247"/>
    </row>
    <row r="131" spans="1:21" x14ac:dyDescent="0.25">
      <c r="A131" s="259"/>
      <c r="B131" s="255" t="s">
        <v>99</v>
      </c>
      <c r="C131" s="256"/>
      <c r="D131" s="256"/>
      <c r="E131" s="266"/>
      <c r="F131" s="266"/>
      <c r="G131" s="266"/>
      <c r="H131" s="300"/>
      <c r="I131" s="266" t="e">
        <f t="shared" ref="I131:R131" si="49">I130+I128</f>
        <v>#DIV/0!</v>
      </c>
      <c r="J131" s="266" t="e">
        <f t="shared" si="49"/>
        <v>#DIV/0!</v>
      </c>
      <c r="K131" s="266" t="e">
        <f t="shared" si="49"/>
        <v>#DIV/0!</v>
      </c>
      <c r="L131" s="266" t="e">
        <f t="shared" si="49"/>
        <v>#DIV/0!</v>
      </c>
      <c r="M131" s="266" t="e">
        <f t="shared" si="49"/>
        <v>#DIV/0!</v>
      </c>
      <c r="N131" s="266" t="e">
        <f t="shared" si="49"/>
        <v>#DIV/0!</v>
      </c>
      <c r="O131" s="266" t="e">
        <f t="shared" si="49"/>
        <v>#DIV/0!</v>
      </c>
      <c r="P131" s="266" t="e">
        <f t="shared" si="49"/>
        <v>#DIV/0!</v>
      </c>
      <c r="Q131" s="266" t="e">
        <f t="shared" si="49"/>
        <v>#DIV/0!</v>
      </c>
      <c r="R131" s="267" t="e">
        <f t="shared" si="49"/>
        <v>#DIV/0!</v>
      </c>
      <c r="S131" s="247"/>
      <c r="T131" s="247"/>
      <c r="U131" s="247"/>
    </row>
    <row r="132" spans="1:21" ht="14.25" thickBot="1" x14ac:dyDescent="0.3">
      <c r="A132" s="259"/>
      <c r="B132" s="275"/>
      <c r="C132" s="276"/>
      <c r="D132" s="276"/>
      <c r="E132" s="276"/>
      <c r="F132" s="276"/>
      <c r="G132" s="276"/>
      <c r="H132" s="282"/>
      <c r="I132" s="276"/>
      <c r="J132" s="276"/>
      <c r="K132" s="276"/>
      <c r="L132" s="276"/>
      <c r="M132" s="276"/>
      <c r="N132" s="276"/>
      <c r="O132" s="276"/>
      <c r="P132" s="276"/>
      <c r="Q132" s="276"/>
      <c r="R132" s="277"/>
      <c r="S132" s="247"/>
      <c r="T132" s="247"/>
      <c r="U132" s="247"/>
    </row>
    <row r="133" spans="1:21" ht="14.25" thickBot="1" x14ac:dyDescent="0.3">
      <c r="A133" s="259"/>
      <c r="S133" s="247"/>
      <c r="T133" s="247"/>
      <c r="U133" s="247"/>
    </row>
    <row r="134" spans="1:21" x14ac:dyDescent="0.25">
      <c r="A134" s="259"/>
      <c r="B134" s="319" t="s">
        <v>160</v>
      </c>
      <c r="C134" s="320"/>
      <c r="D134" s="321"/>
      <c r="E134" s="321"/>
      <c r="F134" s="321"/>
      <c r="G134" s="321"/>
      <c r="H134" s="321"/>
      <c r="I134" s="321"/>
      <c r="J134" s="321"/>
      <c r="K134" s="321"/>
      <c r="L134" s="321"/>
      <c r="M134" s="321"/>
      <c r="N134" s="321"/>
      <c r="O134" s="321"/>
      <c r="P134" s="321"/>
      <c r="Q134" s="321"/>
      <c r="R134" s="322"/>
      <c r="S134" s="247"/>
      <c r="T134" s="247"/>
      <c r="U134" s="247"/>
    </row>
    <row r="135" spans="1:21" x14ac:dyDescent="0.25">
      <c r="A135" s="259"/>
      <c r="B135" s="280"/>
      <c r="C135" s="323"/>
      <c r="D135" s="256"/>
      <c r="E135" s="256"/>
      <c r="F135" s="256"/>
      <c r="G135" s="256"/>
      <c r="H135" s="256"/>
      <c r="I135" s="256"/>
      <c r="J135" s="256"/>
      <c r="K135" s="256"/>
      <c r="L135" s="256"/>
      <c r="M135" s="256"/>
      <c r="N135" s="256"/>
      <c r="O135" s="256"/>
      <c r="P135" s="256"/>
      <c r="Q135" s="256"/>
      <c r="R135" s="257"/>
      <c r="S135" s="247"/>
      <c r="T135" s="247"/>
      <c r="U135" s="247"/>
    </row>
    <row r="136" spans="1:21" x14ac:dyDescent="0.25">
      <c r="A136" s="259"/>
      <c r="B136" s="255" t="s">
        <v>147</v>
      </c>
      <c r="C136" s="256"/>
      <c r="D136" s="256"/>
      <c r="E136" s="256"/>
      <c r="F136" s="256"/>
      <c r="G136" s="256"/>
      <c r="H136" s="256"/>
      <c r="I136" s="266" t="e">
        <f>-I118</f>
        <v>#DIV/0!</v>
      </c>
      <c r="J136" s="266"/>
      <c r="K136" s="266"/>
      <c r="L136" s="266"/>
      <c r="M136" s="266"/>
      <c r="N136" s="324"/>
      <c r="O136" s="324"/>
      <c r="P136" s="324"/>
      <c r="Q136" s="324"/>
      <c r="R136" s="325"/>
      <c r="S136" s="247"/>
      <c r="T136" s="247"/>
      <c r="U136" s="247"/>
    </row>
    <row r="137" spans="1:21" x14ac:dyDescent="0.25">
      <c r="A137" s="259"/>
      <c r="B137" s="255" t="s">
        <v>148</v>
      </c>
      <c r="C137" s="256"/>
      <c r="D137" s="256"/>
      <c r="E137" s="256"/>
      <c r="F137" s="256"/>
      <c r="G137" s="256"/>
      <c r="H137" s="256"/>
      <c r="I137" s="266" t="e">
        <f>I108 + SUM(I121:I122) + I114</f>
        <v>#DIV/0!</v>
      </c>
      <c r="J137" s="266" t="e">
        <f t="shared" ref="J137:R137" si="50">J108 + SUM(J121:J122) + J114</f>
        <v>#DIV/0!</v>
      </c>
      <c r="K137" s="266" t="e">
        <f t="shared" si="50"/>
        <v>#DIV/0!</v>
      </c>
      <c r="L137" s="266" t="e">
        <f t="shared" si="50"/>
        <v>#DIV/0!</v>
      </c>
      <c r="M137" s="266" t="e">
        <f t="shared" si="50"/>
        <v>#DIV/0!</v>
      </c>
      <c r="N137" s="324" t="e">
        <f t="shared" si="50"/>
        <v>#DIV/0!</v>
      </c>
      <c r="O137" s="324" t="e">
        <f t="shared" si="50"/>
        <v>#DIV/0!</v>
      </c>
      <c r="P137" s="324" t="e">
        <f t="shared" si="50"/>
        <v>#DIV/0!</v>
      </c>
      <c r="Q137" s="324" t="e">
        <f t="shared" si="50"/>
        <v>#DIV/0!</v>
      </c>
      <c r="R137" s="325" t="e">
        <f t="shared" si="50"/>
        <v>#DIV/0!</v>
      </c>
      <c r="S137" s="247"/>
      <c r="T137" s="247"/>
      <c r="U137" s="247"/>
    </row>
    <row r="138" spans="1:21" x14ac:dyDescent="0.25">
      <c r="A138" s="259"/>
      <c r="B138" s="260" t="s">
        <v>100</v>
      </c>
      <c r="C138" s="256"/>
      <c r="D138" s="256"/>
      <c r="E138" s="256"/>
      <c r="F138" s="256"/>
      <c r="G138" s="256"/>
      <c r="H138" s="256"/>
      <c r="I138" s="266" t="e">
        <f>SUM(I136:I137)</f>
        <v>#DIV/0!</v>
      </c>
      <c r="J138" s="266" t="e">
        <f t="shared" ref="J138" si="51">SUM(J136:J137)</f>
        <v>#DIV/0!</v>
      </c>
      <c r="K138" s="266" t="e">
        <f t="shared" ref="K138" si="52">SUM(K136:K137)</f>
        <v>#DIV/0!</v>
      </c>
      <c r="L138" s="266" t="e">
        <f t="shared" ref="L138" si="53">SUM(L136:L137)</f>
        <v>#DIV/0!</v>
      </c>
      <c r="M138" s="266" t="e">
        <f t="shared" ref="M138" si="54">SUM(M136:M137)</f>
        <v>#DIV/0!</v>
      </c>
      <c r="N138" s="266" t="e">
        <f t="shared" ref="N138" si="55">SUM(N136:N137)</f>
        <v>#DIV/0!</v>
      </c>
      <c r="O138" s="266" t="e">
        <f t="shared" ref="O138" si="56">SUM(O136:O137)</f>
        <v>#DIV/0!</v>
      </c>
      <c r="P138" s="266" t="e">
        <f t="shared" ref="P138" si="57">SUM(P136:P137)</f>
        <v>#DIV/0!</v>
      </c>
      <c r="Q138" s="266" t="e">
        <f t="shared" ref="Q138" si="58">SUM(Q136:Q137)</f>
        <v>#DIV/0!</v>
      </c>
      <c r="R138" s="267" t="e">
        <f t="shared" ref="R138" si="59">SUM(R136:R137)</f>
        <v>#DIV/0!</v>
      </c>
      <c r="S138" s="247"/>
      <c r="T138" s="247"/>
      <c r="U138" s="247"/>
    </row>
    <row r="139" spans="1:21" x14ac:dyDescent="0.25">
      <c r="A139" s="259"/>
      <c r="B139" s="255"/>
      <c r="C139" s="256"/>
      <c r="D139" s="256"/>
      <c r="E139" s="256"/>
      <c r="F139" s="256"/>
      <c r="G139" s="256"/>
      <c r="H139" s="256"/>
      <c r="I139" s="266"/>
      <c r="J139" s="266"/>
      <c r="K139" s="266"/>
      <c r="L139" s="266"/>
      <c r="M139" s="266"/>
      <c r="N139" s="324"/>
      <c r="O139" s="324"/>
      <c r="P139" s="324"/>
      <c r="Q139" s="324"/>
      <c r="R139" s="325"/>
      <c r="S139" s="247"/>
      <c r="T139" s="247"/>
      <c r="U139" s="247"/>
    </row>
    <row r="140" spans="1:21" x14ac:dyDescent="0.25">
      <c r="A140" s="259"/>
      <c r="B140" s="260" t="s">
        <v>161</v>
      </c>
      <c r="C140" s="256"/>
      <c r="D140" s="256"/>
      <c r="E140" s="256"/>
      <c r="F140" s="256"/>
      <c r="G140" s="256"/>
      <c r="H140" s="256"/>
      <c r="I140" s="326" t="e">
        <f>XIRR(I138:R138,I100:R100)</f>
        <v>#DIV/0!</v>
      </c>
      <c r="J140" s="266"/>
      <c r="K140" s="266"/>
      <c r="L140" s="266"/>
      <c r="M140" s="266"/>
      <c r="N140" s="324"/>
      <c r="O140" s="324"/>
      <c r="P140" s="324"/>
      <c r="Q140" s="324"/>
      <c r="R140" s="325"/>
      <c r="S140" s="247"/>
      <c r="T140" s="247"/>
      <c r="U140" s="247"/>
    </row>
    <row r="141" spans="1:21" ht="14.25" thickBot="1" x14ac:dyDescent="0.3">
      <c r="A141" s="259"/>
      <c r="B141" s="327" t="s">
        <v>162</v>
      </c>
      <c r="C141" s="276"/>
      <c r="D141" s="276"/>
      <c r="E141" s="276"/>
      <c r="F141" s="276"/>
      <c r="G141" s="276"/>
      <c r="H141" s="276"/>
      <c r="I141" s="328" t="e">
        <f>-SUM(I137:R137)/I136</f>
        <v>#DIV/0!</v>
      </c>
      <c r="J141" s="315"/>
      <c r="K141" s="315"/>
      <c r="L141" s="315"/>
      <c r="M141" s="315"/>
      <c r="N141" s="329"/>
      <c r="O141" s="329"/>
      <c r="P141" s="329"/>
      <c r="Q141" s="329"/>
      <c r="R141" s="330"/>
      <c r="S141" s="247"/>
      <c r="T141" s="247"/>
      <c r="U141" s="247"/>
    </row>
    <row r="142" spans="1:21" x14ac:dyDescent="0.25">
      <c r="A142" s="259"/>
      <c r="I142" s="331"/>
      <c r="J142" s="331"/>
      <c r="K142" s="331"/>
      <c r="L142" s="331"/>
      <c r="M142" s="331"/>
      <c r="S142" s="247"/>
      <c r="T142" s="247"/>
      <c r="U142" s="247"/>
    </row>
    <row r="143" spans="1:21" ht="14.25" thickBot="1" x14ac:dyDescent="0.3">
      <c r="A143" s="259"/>
      <c r="I143" s="259" t="s">
        <v>19</v>
      </c>
      <c r="J143" s="259" t="s">
        <v>20</v>
      </c>
      <c r="K143" s="259" t="s">
        <v>21</v>
      </c>
      <c r="L143" s="259" t="s">
        <v>22</v>
      </c>
      <c r="M143" s="259" t="s">
        <v>23</v>
      </c>
      <c r="N143" s="259" t="s">
        <v>24</v>
      </c>
      <c r="O143" s="259" t="s">
        <v>25</v>
      </c>
      <c r="P143" s="259" t="s">
        <v>26</v>
      </c>
      <c r="Q143" s="259" t="s">
        <v>27</v>
      </c>
      <c r="R143" s="259" t="s">
        <v>28</v>
      </c>
      <c r="S143" s="247"/>
      <c r="T143" s="247"/>
      <c r="U143" s="247"/>
    </row>
    <row r="144" spans="1:21" x14ac:dyDescent="0.25">
      <c r="A144" s="259"/>
      <c r="B144" s="251" t="s">
        <v>105</v>
      </c>
      <c r="C144" s="252"/>
      <c r="D144" s="252"/>
      <c r="E144" s="283"/>
      <c r="F144" s="283"/>
      <c r="G144" s="283"/>
      <c r="H144" s="284"/>
      <c r="I144" s="285">
        <v>43465</v>
      </c>
      <c r="J144" s="285">
        <f t="shared" ref="J144:R144" si="60">EOMONTH(I144,12)</f>
        <v>43830</v>
      </c>
      <c r="K144" s="285">
        <f t="shared" si="60"/>
        <v>44196</v>
      </c>
      <c r="L144" s="285">
        <f t="shared" si="60"/>
        <v>44561</v>
      </c>
      <c r="M144" s="285">
        <f t="shared" si="60"/>
        <v>44926</v>
      </c>
      <c r="N144" s="285">
        <f t="shared" si="60"/>
        <v>45291</v>
      </c>
      <c r="O144" s="285">
        <f t="shared" si="60"/>
        <v>45657</v>
      </c>
      <c r="P144" s="285">
        <f t="shared" si="60"/>
        <v>46022</v>
      </c>
      <c r="Q144" s="285">
        <f t="shared" si="60"/>
        <v>46387</v>
      </c>
      <c r="R144" s="286">
        <f t="shared" si="60"/>
        <v>46752</v>
      </c>
      <c r="S144" s="247"/>
      <c r="T144" s="247"/>
      <c r="U144" s="247"/>
    </row>
    <row r="145" spans="1:21" x14ac:dyDescent="0.25">
      <c r="A145" s="259"/>
      <c r="B145" s="332"/>
      <c r="C145" s="256"/>
      <c r="D145" s="256"/>
      <c r="E145" s="256"/>
      <c r="F145" s="256"/>
      <c r="G145" s="256"/>
      <c r="H145" s="256"/>
      <c r="I145" s="256"/>
      <c r="J145" s="256"/>
      <c r="K145" s="256"/>
      <c r="L145" s="256"/>
      <c r="M145" s="256"/>
      <c r="N145" s="256"/>
      <c r="O145" s="256"/>
      <c r="P145" s="256"/>
      <c r="Q145" s="256"/>
      <c r="R145" s="257"/>
      <c r="S145" s="247"/>
      <c r="T145" s="247"/>
      <c r="U145" s="247"/>
    </row>
    <row r="146" spans="1:21" x14ac:dyDescent="0.25">
      <c r="A146" s="259"/>
      <c r="B146" s="255" t="s">
        <v>106</v>
      </c>
      <c r="C146" s="256"/>
      <c r="D146" s="256"/>
      <c r="E146" s="256"/>
      <c r="F146" s="256"/>
      <c r="G146" s="256"/>
      <c r="H146" s="256"/>
      <c r="I146" s="326" t="e">
        <f t="shared" ref="I146:R146" si="61">I44/I40</f>
        <v>#DIV/0!</v>
      </c>
      <c r="J146" s="326" t="e">
        <f t="shared" si="61"/>
        <v>#DIV/0!</v>
      </c>
      <c r="K146" s="326" t="e">
        <f t="shared" si="61"/>
        <v>#DIV/0!</v>
      </c>
      <c r="L146" s="326" t="e">
        <f t="shared" si="61"/>
        <v>#DIV/0!</v>
      </c>
      <c r="M146" s="326" t="e">
        <f t="shared" si="61"/>
        <v>#DIV/0!</v>
      </c>
      <c r="N146" s="326" t="e">
        <f t="shared" si="61"/>
        <v>#DIV/0!</v>
      </c>
      <c r="O146" s="326" t="e">
        <f t="shared" si="61"/>
        <v>#DIV/0!</v>
      </c>
      <c r="P146" s="326" t="e">
        <f t="shared" si="61"/>
        <v>#DIV/0!</v>
      </c>
      <c r="Q146" s="326" t="e">
        <f t="shared" si="61"/>
        <v>#DIV/0!</v>
      </c>
      <c r="R146" s="333" t="e">
        <f t="shared" si="61"/>
        <v>#DIV/0!</v>
      </c>
      <c r="S146" s="247"/>
      <c r="T146" s="247"/>
      <c r="U146" s="247"/>
    </row>
    <row r="147" spans="1:21" x14ac:dyDescent="0.25">
      <c r="A147" s="259"/>
      <c r="B147" s="255" t="s">
        <v>125</v>
      </c>
      <c r="C147" s="256"/>
      <c r="D147" s="256"/>
      <c r="E147" s="256"/>
      <c r="F147" s="256"/>
      <c r="G147" s="256"/>
      <c r="H147" s="256"/>
      <c r="I147" s="326" t="e">
        <f t="shared" ref="I147:R147" si="62">I52/I40</f>
        <v>#DIV/0!</v>
      </c>
      <c r="J147" s="326" t="e">
        <f t="shared" si="62"/>
        <v>#DIV/0!</v>
      </c>
      <c r="K147" s="326" t="e">
        <f t="shared" si="62"/>
        <v>#DIV/0!</v>
      </c>
      <c r="L147" s="326" t="e">
        <f t="shared" si="62"/>
        <v>#DIV/0!</v>
      </c>
      <c r="M147" s="326" t="e">
        <f t="shared" si="62"/>
        <v>#DIV/0!</v>
      </c>
      <c r="N147" s="326" t="e">
        <f t="shared" si="62"/>
        <v>#DIV/0!</v>
      </c>
      <c r="O147" s="326" t="e">
        <f t="shared" si="62"/>
        <v>#DIV/0!</v>
      </c>
      <c r="P147" s="326" t="e">
        <f t="shared" si="62"/>
        <v>#DIV/0!</v>
      </c>
      <c r="Q147" s="326" t="e">
        <f t="shared" si="62"/>
        <v>#DIV/0!</v>
      </c>
      <c r="R147" s="333" t="e">
        <f t="shared" si="62"/>
        <v>#DIV/0!</v>
      </c>
      <c r="S147" s="247"/>
      <c r="T147" s="247"/>
      <c r="U147" s="247"/>
    </row>
    <row r="148" spans="1:21" x14ac:dyDescent="0.25">
      <c r="A148" s="259"/>
      <c r="B148" s="255" t="s">
        <v>107</v>
      </c>
      <c r="C148" s="256"/>
      <c r="D148" s="256"/>
      <c r="E148" s="256"/>
      <c r="F148" s="256"/>
      <c r="G148" s="256"/>
      <c r="H148" s="256"/>
      <c r="I148" s="326" t="e">
        <f t="shared" ref="I148:R148" si="63">I60/I40</f>
        <v>#DIV/0!</v>
      </c>
      <c r="J148" s="326" t="e">
        <f t="shared" si="63"/>
        <v>#DIV/0!</v>
      </c>
      <c r="K148" s="326" t="e">
        <f t="shared" si="63"/>
        <v>#DIV/0!</v>
      </c>
      <c r="L148" s="326" t="e">
        <f t="shared" si="63"/>
        <v>#DIV/0!</v>
      </c>
      <c r="M148" s="326" t="e">
        <f t="shared" si="63"/>
        <v>#DIV/0!</v>
      </c>
      <c r="N148" s="326" t="e">
        <f t="shared" si="63"/>
        <v>#DIV/0!</v>
      </c>
      <c r="O148" s="326" t="e">
        <f t="shared" si="63"/>
        <v>#DIV/0!</v>
      </c>
      <c r="P148" s="326" t="e">
        <f t="shared" si="63"/>
        <v>#DIV/0!</v>
      </c>
      <c r="Q148" s="326" t="e">
        <f t="shared" si="63"/>
        <v>#DIV/0!</v>
      </c>
      <c r="R148" s="333" t="e">
        <f t="shared" si="63"/>
        <v>#DIV/0!</v>
      </c>
      <c r="S148" s="247"/>
      <c r="T148" s="247"/>
      <c r="U148" s="247"/>
    </row>
    <row r="149" spans="1:21" x14ac:dyDescent="0.25">
      <c r="A149" s="259"/>
      <c r="B149" s="255" t="s">
        <v>108</v>
      </c>
      <c r="C149" s="256"/>
      <c r="D149" s="256"/>
      <c r="E149" s="256"/>
      <c r="F149" s="256"/>
      <c r="G149" s="256"/>
      <c r="H149" s="256"/>
      <c r="I149" s="334" t="e">
        <f t="shared" ref="I149:R149" si="64">I40/I80</f>
        <v>#DIV/0!</v>
      </c>
      <c r="J149" s="334" t="e">
        <f t="shared" si="64"/>
        <v>#DIV/0!</v>
      </c>
      <c r="K149" s="334" t="e">
        <f t="shared" si="64"/>
        <v>#DIV/0!</v>
      </c>
      <c r="L149" s="334" t="e">
        <f t="shared" si="64"/>
        <v>#DIV/0!</v>
      </c>
      <c r="M149" s="334" t="e">
        <f t="shared" si="64"/>
        <v>#DIV/0!</v>
      </c>
      <c r="N149" s="334" t="e">
        <f t="shared" si="64"/>
        <v>#DIV/0!</v>
      </c>
      <c r="O149" s="334" t="e">
        <f t="shared" si="64"/>
        <v>#DIV/0!</v>
      </c>
      <c r="P149" s="334" t="e">
        <f t="shared" si="64"/>
        <v>#DIV/0!</v>
      </c>
      <c r="Q149" s="334" t="e">
        <f t="shared" si="64"/>
        <v>#DIV/0!</v>
      </c>
      <c r="R149" s="335" t="e">
        <f t="shared" si="64"/>
        <v>#DIV/0!</v>
      </c>
      <c r="S149" s="247"/>
      <c r="T149" s="247"/>
      <c r="U149" s="247"/>
    </row>
    <row r="150" spans="1:21" x14ac:dyDescent="0.25">
      <c r="A150" s="259"/>
      <c r="B150" s="255" t="s">
        <v>109</v>
      </c>
      <c r="C150" s="256"/>
      <c r="D150" s="256"/>
      <c r="E150" s="256"/>
      <c r="F150" s="256"/>
      <c r="G150" s="256"/>
      <c r="H150" s="256"/>
      <c r="I150" s="334" t="e">
        <f t="shared" ref="I150:R150" si="65">I80/I93</f>
        <v>#DIV/0!</v>
      </c>
      <c r="J150" s="334" t="e">
        <f t="shared" si="65"/>
        <v>#DIV/0!</v>
      </c>
      <c r="K150" s="334" t="e">
        <f t="shared" si="65"/>
        <v>#DIV/0!</v>
      </c>
      <c r="L150" s="334" t="e">
        <f t="shared" si="65"/>
        <v>#DIV/0!</v>
      </c>
      <c r="M150" s="334" t="e">
        <f t="shared" si="65"/>
        <v>#DIV/0!</v>
      </c>
      <c r="N150" s="334" t="e">
        <f t="shared" si="65"/>
        <v>#DIV/0!</v>
      </c>
      <c r="O150" s="334" t="e">
        <f t="shared" si="65"/>
        <v>#DIV/0!</v>
      </c>
      <c r="P150" s="334" t="e">
        <f t="shared" si="65"/>
        <v>#DIV/0!</v>
      </c>
      <c r="Q150" s="334" t="e">
        <f t="shared" si="65"/>
        <v>#DIV/0!</v>
      </c>
      <c r="R150" s="335" t="e">
        <f t="shared" si="65"/>
        <v>#DIV/0!</v>
      </c>
      <c r="S150" s="247"/>
      <c r="T150" s="247"/>
      <c r="U150" s="247"/>
    </row>
    <row r="151" spans="1:21" x14ac:dyDescent="0.25">
      <c r="A151" s="259"/>
      <c r="B151" s="255"/>
      <c r="C151" s="256"/>
      <c r="D151" s="256"/>
      <c r="E151" s="256"/>
      <c r="F151" s="256"/>
      <c r="G151" s="256"/>
      <c r="H151" s="256"/>
      <c r="I151" s="336"/>
      <c r="J151" s="336"/>
      <c r="K151" s="336"/>
      <c r="L151" s="336"/>
      <c r="M151" s="336"/>
      <c r="N151" s="336"/>
      <c r="O151" s="336"/>
      <c r="P151" s="336"/>
      <c r="Q151" s="336"/>
      <c r="R151" s="337"/>
      <c r="S151" s="247"/>
      <c r="T151" s="247"/>
      <c r="U151" s="247"/>
    </row>
    <row r="152" spans="1:21" x14ac:dyDescent="0.25">
      <c r="A152" s="259"/>
      <c r="B152" s="255" t="s">
        <v>110</v>
      </c>
      <c r="C152" s="256"/>
      <c r="D152" s="256"/>
      <c r="E152" s="256"/>
      <c r="F152" s="256"/>
      <c r="G152" s="256"/>
      <c r="H152" s="256"/>
      <c r="I152" s="326" t="e">
        <f>I148*I149*I150</f>
        <v>#DIV/0!</v>
      </c>
      <c r="J152" s="326" t="e">
        <f t="shared" ref="J152:R152" si="66">J148*J149*J150</f>
        <v>#DIV/0!</v>
      </c>
      <c r="K152" s="326" t="e">
        <f t="shared" si="66"/>
        <v>#DIV/0!</v>
      </c>
      <c r="L152" s="326" t="e">
        <f t="shared" si="66"/>
        <v>#DIV/0!</v>
      </c>
      <c r="M152" s="326" t="e">
        <f t="shared" si="66"/>
        <v>#DIV/0!</v>
      </c>
      <c r="N152" s="326" t="e">
        <f t="shared" si="66"/>
        <v>#DIV/0!</v>
      </c>
      <c r="O152" s="326" t="e">
        <f t="shared" si="66"/>
        <v>#DIV/0!</v>
      </c>
      <c r="P152" s="326" t="e">
        <f t="shared" si="66"/>
        <v>#DIV/0!</v>
      </c>
      <c r="Q152" s="326" t="e">
        <f t="shared" si="66"/>
        <v>#DIV/0!</v>
      </c>
      <c r="R152" s="333" t="e">
        <f t="shared" si="66"/>
        <v>#DIV/0!</v>
      </c>
      <c r="S152" s="247"/>
      <c r="T152" s="247"/>
      <c r="U152" s="247"/>
    </row>
    <row r="153" spans="1:21" x14ac:dyDescent="0.25">
      <c r="A153" s="259"/>
      <c r="B153" s="255" t="s">
        <v>123</v>
      </c>
      <c r="C153" s="256"/>
      <c r="D153" s="256"/>
      <c r="E153" s="256"/>
      <c r="F153" s="256"/>
      <c r="G153" s="256"/>
      <c r="H153" s="256"/>
      <c r="I153" s="326" t="e">
        <f t="shared" ref="I153:R153" si="67">I60/SUM(I82:I83,I86, I93)</f>
        <v>#DIV/0!</v>
      </c>
      <c r="J153" s="326" t="e">
        <f t="shared" si="67"/>
        <v>#DIV/0!</v>
      </c>
      <c r="K153" s="326" t="e">
        <f t="shared" si="67"/>
        <v>#DIV/0!</v>
      </c>
      <c r="L153" s="326" t="e">
        <f t="shared" si="67"/>
        <v>#DIV/0!</v>
      </c>
      <c r="M153" s="326" t="e">
        <f t="shared" si="67"/>
        <v>#DIV/0!</v>
      </c>
      <c r="N153" s="326" t="e">
        <f t="shared" si="67"/>
        <v>#DIV/0!</v>
      </c>
      <c r="O153" s="326" t="e">
        <f t="shared" si="67"/>
        <v>#DIV/0!</v>
      </c>
      <c r="P153" s="326" t="e">
        <f t="shared" si="67"/>
        <v>#DIV/0!</v>
      </c>
      <c r="Q153" s="326" t="e">
        <f t="shared" si="67"/>
        <v>#DIV/0!</v>
      </c>
      <c r="R153" s="333" t="e">
        <f t="shared" si="67"/>
        <v>#DIV/0!</v>
      </c>
      <c r="S153" s="247"/>
      <c r="T153" s="247"/>
      <c r="U153" s="247"/>
    </row>
    <row r="154" spans="1:21" x14ac:dyDescent="0.25">
      <c r="A154" s="259"/>
      <c r="B154" s="255"/>
      <c r="C154" s="256"/>
      <c r="D154" s="256"/>
      <c r="E154" s="256"/>
      <c r="F154" s="256"/>
      <c r="G154" s="256"/>
      <c r="H154" s="256"/>
      <c r="I154" s="326"/>
      <c r="J154" s="326"/>
      <c r="K154" s="326"/>
      <c r="L154" s="326"/>
      <c r="M154" s="326"/>
      <c r="N154" s="326"/>
      <c r="O154" s="326"/>
      <c r="P154" s="326"/>
      <c r="Q154" s="326"/>
      <c r="R154" s="333"/>
      <c r="S154" s="247"/>
      <c r="T154" s="247"/>
      <c r="U154" s="247"/>
    </row>
    <row r="155" spans="1:21" x14ac:dyDescent="0.25">
      <c r="A155" s="259"/>
      <c r="B155" s="255" t="s">
        <v>122</v>
      </c>
      <c r="C155" s="256"/>
      <c r="D155" s="256"/>
      <c r="E155" s="256"/>
      <c r="F155" s="256"/>
      <c r="G155" s="256"/>
      <c r="H155" s="256"/>
      <c r="I155" s="334" t="e">
        <f t="shared" ref="I155:R155" si="68">SUM(I82:I83,I86) / I93</f>
        <v>#DIV/0!</v>
      </c>
      <c r="J155" s="334" t="e">
        <f t="shared" si="68"/>
        <v>#DIV/0!</v>
      </c>
      <c r="K155" s="334" t="e">
        <f t="shared" si="68"/>
        <v>#DIV/0!</v>
      </c>
      <c r="L155" s="334" t="e">
        <f t="shared" si="68"/>
        <v>#DIV/0!</v>
      </c>
      <c r="M155" s="334" t="e">
        <f t="shared" si="68"/>
        <v>#DIV/0!</v>
      </c>
      <c r="N155" s="334" t="e">
        <f t="shared" si="68"/>
        <v>#DIV/0!</v>
      </c>
      <c r="O155" s="334" t="e">
        <f t="shared" si="68"/>
        <v>#DIV/0!</v>
      </c>
      <c r="P155" s="334" t="e">
        <f t="shared" si="68"/>
        <v>#DIV/0!</v>
      </c>
      <c r="Q155" s="334" t="e">
        <f t="shared" si="68"/>
        <v>#DIV/0!</v>
      </c>
      <c r="R155" s="335" t="e">
        <f t="shared" si="68"/>
        <v>#DIV/0!</v>
      </c>
      <c r="S155" s="247"/>
      <c r="T155" s="247"/>
      <c r="U155" s="247"/>
    </row>
    <row r="156" spans="1:21" x14ac:dyDescent="0.25">
      <c r="A156" s="259"/>
      <c r="B156" s="255" t="s">
        <v>124</v>
      </c>
      <c r="C156" s="256"/>
      <c r="D156" s="256"/>
      <c r="E156" s="256"/>
      <c r="F156" s="256"/>
      <c r="G156" s="256"/>
      <c r="H156" s="256"/>
      <c r="I156" s="334">
        <f>IFERROR(-I108/SUM(#REF!,I121:I122), 0)</f>
        <v>0</v>
      </c>
      <c r="J156" s="334">
        <f>IFERROR(-J108/SUM(#REF!,J121:J122), 0)</f>
        <v>0</v>
      </c>
      <c r="K156" s="334">
        <f>IFERROR(-K108/SUM(#REF!,K121:K122), 0)</f>
        <v>0</v>
      </c>
      <c r="L156" s="334">
        <f>IFERROR(-L108/SUM(#REF!,L121:L122), 0)</f>
        <v>0</v>
      </c>
      <c r="M156" s="334">
        <f>IFERROR(-M108/SUM(#REF!,M121:M122), 0)</f>
        <v>0</v>
      </c>
      <c r="N156" s="334">
        <f>IFERROR(-N108/SUM(#REF!,N121:N122), 0)</f>
        <v>0</v>
      </c>
      <c r="O156" s="334">
        <f>IFERROR(-O108/SUM(#REF!,O121:O122), 0)</f>
        <v>0</v>
      </c>
      <c r="P156" s="334">
        <f>IFERROR(-P108/SUM(#REF!,P121:P122), 0)</f>
        <v>0</v>
      </c>
      <c r="Q156" s="334">
        <f>IFERROR(-Q108/SUM(#REF!,Q121:Q122), 0)</f>
        <v>0</v>
      </c>
      <c r="R156" s="335">
        <f>IFERROR(-R108/SUM(#REF!,R121:R122), 0)</f>
        <v>0</v>
      </c>
      <c r="S156" s="247"/>
      <c r="T156" s="247"/>
      <c r="U156" s="247"/>
    </row>
    <row r="157" spans="1:21" ht="14.25" thickBot="1" x14ac:dyDescent="0.3">
      <c r="A157" s="259"/>
      <c r="B157" s="275"/>
      <c r="C157" s="276"/>
      <c r="D157" s="276"/>
      <c r="E157" s="276"/>
      <c r="F157" s="276"/>
      <c r="G157" s="276"/>
      <c r="H157" s="276"/>
      <c r="I157" s="276"/>
      <c r="J157" s="276"/>
      <c r="K157" s="276"/>
      <c r="L157" s="276"/>
      <c r="M157" s="276"/>
      <c r="N157" s="276"/>
      <c r="O157" s="276"/>
      <c r="P157" s="276"/>
      <c r="Q157" s="276"/>
      <c r="R157" s="277"/>
      <c r="S157" s="247"/>
      <c r="T157" s="247"/>
      <c r="U157" s="247"/>
    </row>
    <row r="158" spans="1:21" x14ac:dyDescent="0.25">
      <c r="A158" s="259"/>
    </row>
    <row r="159" spans="1:21" x14ac:dyDescent="0.25">
      <c r="A159" s="259"/>
    </row>
    <row r="160" spans="1:21" x14ac:dyDescent="0.25">
      <c r="A160" s="259"/>
    </row>
    <row r="161" spans="1:21" ht="14.25" thickBot="1" x14ac:dyDescent="0.3">
      <c r="A161" s="259"/>
      <c r="I161" s="259" t="s">
        <v>19</v>
      </c>
      <c r="J161" s="259" t="s">
        <v>20</v>
      </c>
      <c r="K161" s="259" t="s">
        <v>21</v>
      </c>
      <c r="L161" s="259" t="s">
        <v>22</v>
      </c>
      <c r="M161" s="259" t="s">
        <v>23</v>
      </c>
      <c r="N161" s="259" t="s">
        <v>24</v>
      </c>
      <c r="O161" s="259" t="s">
        <v>25</v>
      </c>
      <c r="P161" s="259" t="s">
        <v>26</v>
      </c>
      <c r="Q161" s="259" t="s">
        <v>27</v>
      </c>
      <c r="R161" s="259" t="s">
        <v>28</v>
      </c>
      <c r="S161" s="247"/>
      <c r="T161" s="247"/>
      <c r="U161" s="247"/>
    </row>
    <row r="162" spans="1:21" x14ac:dyDescent="0.25">
      <c r="A162" s="259"/>
      <c r="B162" s="251" t="s">
        <v>72</v>
      </c>
      <c r="C162" s="252"/>
      <c r="D162" s="252"/>
      <c r="E162" s="283"/>
      <c r="F162" s="283"/>
      <c r="G162" s="283"/>
      <c r="H162" s="284"/>
      <c r="I162" s="285">
        <v>43465</v>
      </c>
      <c r="J162" s="285">
        <f t="shared" ref="J162:R162" si="69">EOMONTH(I162,12)</f>
        <v>43830</v>
      </c>
      <c r="K162" s="285">
        <f t="shared" si="69"/>
        <v>44196</v>
      </c>
      <c r="L162" s="285">
        <f t="shared" si="69"/>
        <v>44561</v>
      </c>
      <c r="M162" s="285">
        <f t="shared" si="69"/>
        <v>44926</v>
      </c>
      <c r="N162" s="285">
        <f t="shared" si="69"/>
        <v>45291</v>
      </c>
      <c r="O162" s="285">
        <f t="shared" si="69"/>
        <v>45657</v>
      </c>
      <c r="P162" s="285">
        <f t="shared" si="69"/>
        <v>46022</v>
      </c>
      <c r="Q162" s="285">
        <f t="shared" si="69"/>
        <v>46387</v>
      </c>
      <c r="R162" s="286">
        <f t="shared" si="69"/>
        <v>46752</v>
      </c>
      <c r="S162" s="247"/>
      <c r="T162" s="247"/>
      <c r="U162" s="247"/>
    </row>
    <row r="163" spans="1:21" x14ac:dyDescent="0.25">
      <c r="A163" s="259"/>
      <c r="B163" s="255"/>
      <c r="C163" s="256"/>
      <c r="D163" s="256"/>
      <c r="E163" s="256"/>
      <c r="F163" s="256"/>
      <c r="G163" s="256"/>
      <c r="H163" s="258"/>
      <c r="I163" s="256"/>
      <c r="J163" s="256"/>
      <c r="K163" s="256"/>
      <c r="L163" s="256"/>
      <c r="M163" s="256"/>
      <c r="N163" s="256"/>
      <c r="O163" s="256"/>
      <c r="P163" s="256"/>
      <c r="Q163" s="256"/>
      <c r="R163" s="257"/>
      <c r="S163" s="247"/>
      <c r="T163" s="247"/>
      <c r="U163" s="247"/>
    </row>
    <row r="164" spans="1:21" x14ac:dyDescent="0.25">
      <c r="A164" s="259"/>
      <c r="B164" s="280" t="s">
        <v>111</v>
      </c>
      <c r="C164" s="256"/>
      <c r="D164" s="338"/>
      <c r="E164" s="266"/>
      <c r="F164" s="266"/>
      <c r="G164" s="266"/>
      <c r="H164" s="258"/>
      <c r="I164" s="266"/>
      <c r="J164" s="266"/>
      <c r="K164" s="266"/>
      <c r="L164" s="266"/>
      <c r="M164" s="266"/>
      <c r="N164" s="266"/>
      <c r="O164" s="266"/>
      <c r="P164" s="266"/>
      <c r="Q164" s="266"/>
      <c r="R164" s="267"/>
      <c r="S164" s="247"/>
      <c r="T164" s="247"/>
      <c r="U164" s="247"/>
    </row>
    <row r="165" spans="1:21" x14ac:dyDescent="0.25">
      <c r="A165" s="259"/>
      <c r="B165" s="255"/>
      <c r="C165" s="256"/>
      <c r="D165" s="338"/>
      <c r="E165" s="266"/>
      <c r="F165" s="266"/>
      <c r="G165" s="266"/>
      <c r="H165" s="258"/>
      <c r="I165" s="339"/>
      <c r="J165" s="266"/>
      <c r="K165" s="266"/>
      <c r="L165" s="266"/>
      <c r="M165" s="266"/>
      <c r="N165" s="266"/>
      <c r="O165" s="266"/>
      <c r="P165" s="266"/>
      <c r="Q165" s="266"/>
      <c r="R165" s="267"/>
      <c r="S165" s="247"/>
      <c r="T165" s="247"/>
      <c r="U165" s="247"/>
    </row>
    <row r="166" spans="1:21" x14ac:dyDescent="0.25">
      <c r="A166" s="259"/>
      <c r="B166" s="255" t="s">
        <v>117</v>
      </c>
      <c r="C166" s="256" t="s">
        <v>104</v>
      </c>
      <c r="D166" s="338"/>
      <c r="E166" s="266"/>
      <c r="F166" s="266"/>
      <c r="G166" s="266"/>
      <c r="H166" s="258"/>
      <c r="I166" s="339">
        <f>I17</f>
        <v>0</v>
      </c>
      <c r="J166" s="340">
        <f>I166</f>
        <v>0</v>
      </c>
      <c r="K166" s="340">
        <f t="shared" ref="K166:R166" si="70">J166</f>
        <v>0</v>
      </c>
      <c r="L166" s="340">
        <f t="shared" si="70"/>
        <v>0</v>
      </c>
      <c r="M166" s="340">
        <f t="shared" si="70"/>
        <v>0</v>
      </c>
      <c r="N166" s="340">
        <f t="shared" si="70"/>
        <v>0</v>
      </c>
      <c r="O166" s="340">
        <f t="shared" si="70"/>
        <v>0</v>
      </c>
      <c r="P166" s="340">
        <f t="shared" si="70"/>
        <v>0</v>
      </c>
      <c r="Q166" s="340">
        <f t="shared" si="70"/>
        <v>0</v>
      </c>
      <c r="R166" s="341">
        <f t="shared" si="70"/>
        <v>0</v>
      </c>
      <c r="S166" s="247"/>
      <c r="T166" s="247"/>
      <c r="U166" s="247"/>
    </row>
    <row r="167" spans="1:21" x14ac:dyDescent="0.25">
      <c r="A167" s="259"/>
      <c r="B167" s="255"/>
      <c r="C167" s="256" t="s">
        <v>116</v>
      </c>
      <c r="D167" s="338"/>
      <c r="E167" s="266"/>
      <c r="F167" s="266"/>
      <c r="G167" s="266"/>
      <c r="H167" s="258"/>
      <c r="I167" s="339" t="e">
        <f t="shared" ref="I167:R167" si="71">SUM(I130, I108, I116, I118:I118)</f>
        <v>#DIV/0!</v>
      </c>
      <c r="J167" s="339" t="e">
        <f t="shared" si="71"/>
        <v>#DIV/0!</v>
      </c>
      <c r="K167" s="339" t="e">
        <f t="shared" si="71"/>
        <v>#DIV/0!</v>
      </c>
      <c r="L167" s="339" t="e">
        <f t="shared" si="71"/>
        <v>#DIV/0!</v>
      </c>
      <c r="M167" s="339" t="e">
        <f t="shared" si="71"/>
        <v>#DIV/0!</v>
      </c>
      <c r="N167" s="339" t="e">
        <f t="shared" si="71"/>
        <v>#DIV/0!</v>
      </c>
      <c r="O167" s="339" t="e">
        <f t="shared" si="71"/>
        <v>#DIV/0!</v>
      </c>
      <c r="P167" s="339" t="e">
        <f t="shared" si="71"/>
        <v>#DIV/0!</v>
      </c>
      <c r="Q167" s="339" t="e">
        <f t="shared" si="71"/>
        <v>#DIV/0!</v>
      </c>
      <c r="R167" s="342" t="e">
        <f t="shared" si="71"/>
        <v>#DIV/0!</v>
      </c>
      <c r="S167" s="247"/>
      <c r="T167" s="247"/>
      <c r="U167" s="247"/>
    </row>
    <row r="168" spans="1:21" x14ac:dyDescent="0.25">
      <c r="A168" s="259"/>
      <c r="B168" s="255"/>
      <c r="C168" s="256"/>
      <c r="D168" s="338"/>
      <c r="E168" s="266"/>
      <c r="F168" s="266"/>
      <c r="G168" s="266"/>
      <c r="H168" s="258"/>
      <c r="I168" s="339"/>
      <c r="J168" s="339"/>
      <c r="K168" s="339"/>
      <c r="L168" s="339"/>
      <c r="M168" s="339"/>
      <c r="N168" s="339"/>
      <c r="O168" s="339"/>
      <c r="P168" s="339"/>
      <c r="Q168" s="339"/>
      <c r="R168" s="342"/>
      <c r="S168" s="247"/>
      <c r="T168" s="247"/>
      <c r="U168" s="247"/>
    </row>
    <row r="169" spans="1:21" x14ac:dyDescent="0.25">
      <c r="A169" s="259"/>
      <c r="B169" s="255" t="s">
        <v>115</v>
      </c>
      <c r="C169" s="256" t="s">
        <v>118</v>
      </c>
      <c r="D169" s="338"/>
      <c r="E169" s="266"/>
      <c r="F169" s="266"/>
      <c r="G169" s="266"/>
      <c r="H169" s="258"/>
      <c r="I169" s="339">
        <v>0</v>
      </c>
      <c r="J169" s="340" t="e">
        <f>I173</f>
        <v>#DIV/0!</v>
      </c>
      <c r="K169" s="340" t="e">
        <f t="shared" ref="K169:R169" si="72">J173</f>
        <v>#DIV/0!</v>
      </c>
      <c r="L169" s="340" t="e">
        <f t="shared" si="72"/>
        <v>#DIV/0!</v>
      </c>
      <c r="M169" s="340" t="e">
        <f t="shared" si="72"/>
        <v>#DIV/0!</v>
      </c>
      <c r="N169" s="340" t="e">
        <f t="shared" si="72"/>
        <v>#DIV/0!</v>
      </c>
      <c r="O169" s="340" t="e">
        <f t="shared" si="72"/>
        <v>#DIV/0!</v>
      </c>
      <c r="P169" s="340" t="e">
        <f t="shared" si="72"/>
        <v>#DIV/0!</v>
      </c>
      <c r="Q169" s="340" t="e">
        <f t="shared" si="72"/>
        <v>#DIV/0!</v>
      </c>
      <c r="R169" s="341" t="e">
        <f t="shared" si="72"/>
        <v>#DIV/0!</v>
      </c>
      <c r="S169" s="247"/>
      <c r="T169" s="247"/>
      <c r="U169" s="247"/>
    </row>
    <row r="170" spans="1:21" x14ac:dyDescent="0.25">
      <c r="A170" s="259"/>
      <c r="B170" s="255"/>
      <c r="C170" s="256" t="s">
        <v>112</v>
      </c>
      <c r="D170" s="338"/>
      <c r="E170" s="266"/>
      <c r="F170" s="266"/>
      <c r="G170" s="266"/>
      <c r="H170" s="258"/>
      <c r="I170" s="266" t="e">
        <f>MAX(0, I166 - I167)</f>
        <v>#DIV/0!</v>
      </c>
      <c r="J170" s="266" t="e">
        <f t="shared" ref="J170:R170" si="73">MAX(0, J166 - J167)</f>
        <v>#DIV/0!</v>
      </c>
      <c r="K170" s="266" t="e">
        <f t="shared" si="73"/>
        <v>#DIV/0!</v>
      </c>
      <c r="L170" s="266" t="e">
        <f t="shared" si="73"/>
        <v>#DIV/0!</v>
      </c>
      <c r="M170" s="266" t="e">
        <f t="shared" si="73"/>
        <v>#DIV/0!</v>
      </c>
      <c r="N170" s="266" t="e">
        <f t="shared" si="73"/>
        <v>#DIV/0!</v>
      </c>
      <c r="O170" s="266" t="e">
        <f t="shared" si="73"/>
        <v>#DIV/0!</v>
      </c>
      <c r="P170" s="266" t="e">
        <f t="shared" si="73"/>
        <v>#DIV/0!</v>
      </c>
      <c r="Q170" s="266" t="e">
        <f t="shared" si="73"/>
        <v>#DIV/0!</v>
      </c>
      <c r="R170" s="267" t="e">
        <f t="shared" si="73"/>
        <v>#DIV/0!</v>
      </c>
      <c r="S170" s="247"/>
      <c r="T170" s="247"/>
      <c r="U170" s="247"/>
    </row>
    <row r="171" spans="1:21" x14ac:dyDescent="0.25">
      <c r="A171" s="259"/>
      <c r="B171" s="255"/>
      <c r="C171" s="256" t="s">
        <v>114</v>
      </c>
      <c r="D171" s="343">
        <f>$I$18</f>
        <v>0</v>
      </c>
      <c r="E171" s="266"/>
      <c r="F171" s="266"/>
      <c r="G171" s="266"/>
      <c r="H171" s="258"/>
      <c r="I171" s="266">
        <f>-I169*$D$171</f>
        <v>0</v>
      </c>
      <c r="J171" s="266" t="e">
        <f t="shared" ref="J171:R171" si="74">-J169*$D$171</f>
        <v>#DIV/0!</v>
      </c>
      <c r="K171" s="266" t="e">
        <f t="shared" si="74"/>
        <v>#DIV/0!</v>
      </c>
      <c r="L171" s="266" t="e">
        <f t="shared" si="74"/>
        <v>#DIV/0!</v>
      </c>
      <c r="M171" s="266" t="e">
        <f t="shared" si="74"/>
        <v>#DIV/0!</v>
      </c>
      <c r="N171" s="266" t="e">
        <f t="shared" si="74"/>
        <v>#DIV/0!</v>
      </c>
      <c r="O171" s="266" t="e">
        <f t="shared" si="74"/>
        <v>#DIV/0!</v>
      </c>
      <c r="P171" s="266" t="e">
        <f t="shared" si="74"/>
        <v>#DIV/0!</v>
      </c>
      <c r="Q171" s="266" t="e">
        <f t="shared" si="74"/>
        <v>#DIV/0!</v>
      </c>
      <c r="R171" s="267" t="e">
        <f t="shared" si="74"/>
        <v>#DIV/0!</v>
      </c>
      <c r="S171" s="247"/>
      <c r="T171" s="247"/>
      <c r="U171" s="247"/>
    </row>
    <row r="172" spans="1:21" x14ac:dyDescent="0.25">
      <c r="A172" s="259"/>
      <c r="B172" s="255"/>
      <c r="C172" s="256" t="s">
        <v>113</v>
      </c>
      <c r="D172" s="338"/>
      <c r="E172" s="266"/>
      <c r="F172" s="266"/>
      <c r="G172" s="266"/>
      <c r="H172" s="258"/>
      <c r="I172" s="266" t="e">
        <f>-MIN(MAX(0, I167 + I171 -I166), I169)</f>
        <v>#DIV/0!</v>
      </c>
      <c r="J172" s="266" t="e">
        <f t="shared" ref="J172:R172" si="75">-MIN(MAX(0, J167 + J171 -J166), J169)</f>
        <v>#DIV/0!</v>
      </c>
      <c r="K172" s="266" t="e">
        <f t="shared" si="75"/>
        <v>#DIV/0!</v>
      </c>
      <c r="L172" s="266" t="e">
        <f t="shared" si="75"/>
        <v>#DIV/0!</v>
      </c>
      <c r="M172" s="266" t="e">
        <f t="shared" si="75"/>
        <v>#DIV/0!</v>
      </c>
      <c r="N172" s="266" t="e">
        <f t="shared" si="75"/>
        <v>#DIV/0!</v>
      </c>
      <c r="O172" s="266" t="e">
        <f t="shared" si="75"/>
        <v>#DIV/0!</v>
      </c>
      <c r="P172" s="266" t="e">
        <f t="shared" si="75"/>
        <v>#DIV/0!</v>
      </c>
      <c r="Q172" s="266" t="e">
        <f t="shared" si="75"/>
        <v>#DIV/0!</v>
      </c>
      <c r="R172" s="267" t="e">
        <f t="shared" si="75"/>
        <v>#DIV/0!</v>
      </c>
      <c r="S172" s="247"/>
      <c r="T172" s="247"/>
      <c r="U172" s="247"/>
    </row>
    <row r="173" spans="1:21" x14ac:dyDescent="0.25">
      <c r="A173" s="259"/>
      <c r="B173" s="255"/>
      <c r="C173" s="271" t="s">
        <v>119</v>
      </c>
      <c r="D173" s="338"/>
      <c r="E173" s="266"/>
      <c r="F173" s="266"/>
      <c r="G173" s="266"/>
      <c r="H173" s="258"/>
      <c r="I173" s="266" t="e">
        <f>I169+I170+I172</f>
        <v>#DIV/0!</v>
      </c>
      <c r="J173" s="266" t="e">
        <f t="shared" ref="J173:R173" si="76">J169+J170+J172</f>
        <v>#DIV/0!</v>
      </c>
      <c r="K173" s="266" t="e">
        <f t="shared" si="76"/>
        <v>#DIV/0!</v>
      </c>
      <c r="L173" s="266" t="e">
        <f t="shared" si="76"/>
        <v>#DIV/0!</v>
      </c>
      <c r="M173" s="266" t="e">
        <f t="shared" si="76"/>
        <v>#DIV/0!</v>
      </c>
      <c r="N173" s="266" t="e">
        <f t="shared" si="76"/>
        <v>#DIV/0!</v>
      </c>
      <c r="O173" s="266" t="e">
        <f t="shared" si="76"/>
        <v>#DIV/0!</v>
      </c>
      <c r="P173" s="266" t="e">
        <f t="shared" si="76"/>
        <v>#DIV/0!</v>
      </c>
      <c r="Q173" s="266" t="e">
        <f t="shared" si="76"/>
        <v>#DIV/0!</v>
      </c>
      <c r="R173" s="267" t="e">
        <f t="shared" si="76"/>
        <v>#DIV/0!</v>
      </c>
      <c r="S173" s="247"/>
      <c r="T173" s="247"/>
      <c r="U173" s="247"/>
    </row>
    <row r="174" spans="1:21" ht="14.25" thickBot="1" x14ac:dyDescent="0.3">
      <c r="A174" s="259"/>
      <c r="B174" s="275"/>
      <c r="C174" s="276"/>
      <c r="D174" s="276"/>
      <c r="E174" s="276"/>
      <c r="F174" s="276"/>
      <c r="G174" s="276"/>
      <c r="H174" s="276"/>
      <c r="I174" s="276"/>
      <c r="J174" s="276"/>
      <c r="K174" s="276"/>
      <c r="L174" s="276"/>
      <c r="M174" s="276"/>
      <c r="N174" s="276"/>
      <c r="O174" s="276"/>
      <c r="P174" s="276"/>
      <c r="Q174" s="276"/>
      <c r="R174" s="277"/>
      <c r="S174" s="247"/>
      <c r="T174" s="247"/>
      <c r="U174" s="247"/>
    </row>
    <row r="175" spans="1:21" x14ac:dyDescent="0.25">
      <c r="A175" s="259"/>
    </row>
    <row r="176" spans="1:21" x14ac:dyDescent="0.25">
      <c r="A176" s="259"/>
    </row>
    <row r="177" spans="1:21" x14ac:dyDescent="0.25">
      <c r="A177" s="259"/>
    </row>
    <row r="178" spans="1:21" ht="14.25" thickBot="1" x14ac:dyDescent="0.3">
      <c r="A178" s="259"/>
      <c r="I178" s="259" t="s">
        <v>19</v>
      </c>
      <c r="J178" s="259" t="s">
        <v>20</v>
      </c>
      <c r="K178" s="259" t="s">
        <v>21</v>
      </c>
      <c r="L178" s="259" t="s">
        <v>22</v>
      </c>
      <c r="M178" s="259" t="s">
        <v>23</v>
      </c>
      <c r="N178" s="259" t="s">
        <v>24</v>
      </c>
      <c r="O178" s="259" t="s">
        <v>25</v>
      </c>
      <c r="P178" s="259" t="s">
        <v>26</v>
      </c>
      <c r="Q178" s="259" t="s">
        <v>27</v>
      </c>
      <c r="R178" s="259" t="s">
        <v>28</v>
      </c>
      <c r="S178" s="247"/>
      <c r="T178" s="247"/>
      <c r="U178" s="247"/>
    </row>
    <row r="179" spans="1:21" x14ac:dyDescent="0.25">
      <c r="A179" s="259"/>
      <c r="B179" s="251" t="s">
        <v>61</v>
      </c>
      <c r="C179" s="252"/>
      <c r="D179" s="252"/>
      <c r="E179" s="283"/>
      <c r="F179" s="283"/>
      <c r="G179" s="283"/>
      <c r="H179" s="284"/>
      <c r="I179" s="285">
        <v>43465</v>
      </c>
      <c r="J179" s="285">
        <f t="shared" ref="J179:R179" si="77">EOMONTH(I179,12)</f>
        <v>43830</v>
      </c>
      <c r="K179" s="285">
        <f t="shared" si="77"/>
        <v>44196</v>
      </c>
      <c r="L179" s="285">
        <f t="shared" si="77"/>
        <v>44561</v>
      </c>
      <c r="M179" s="285">
        <f t="shared" si="77"/>
        <v>44926</v>
      </c>
      <c r="N179" s="285">
        <f t="shared" si="77"/>
        <v>45291</v>
      </c>
      <c r="O179" s="285">
        <f t="shared" si="77"/>
        <v>45657</v>
      </c>
      <c r="P179" s="285">
        <f t="shared" si="77"/>
        <v>46022</v>
      </c>
      <c r="Q179" s="285">
        <f t="shared" si="77"/>
        <v>46387</v>
      </c>
      <c r="R179" s="286">
        <f t="shared" si="77"/>
        <v>46752</v>
      </c>
      <c r="S179" s="247"/>
      <c r="T179" s="247"/>
      <c r="U179" s="247"/>
    </row>
    <row r="180" spans="1:21" x14ac:dyDescent="0.25">
      <c r="A180" s="259"/>
      <c r="B180" s="255"/>
      <c r="C180" s="256"/>
      <c r="D180" s="256"/>
      <c r="E180" s="256"/>
      <c r="F180" s="256"/>
      <c r="G180" s="256"/>
      <c r="H180" s="258"/>
      <c r="I180" s="256"/>
      <c r="J180" s="256"/>
      <c r="K180" s="256"/>
      <c r="L180" s="256"/>
      <c r="M180" s="256"/>
      <c r="N180" s="256"/>
      <c r="O180" s="256"/>
      <c r="P180" s="256"/>
      <c r="Q180" s="256"/>
      <c r="R180" s="257"/>
      <c r="S180" s="247"/>
      <c r="T180" s="247"/>
      <c r="U180" s="247"/>
    </row>
    <row r="181" spans="1:21" x14ac:dyDescent="0.25">
      <c r="A181" s="259"/>
      <c r="B181" s="255" t="s">
        <v>64</v>
      </c>
      <c r="C181" s="256"/>
      <c r="D181" s="256"/>
      <c r="E181" s="256"/>
      <c r="F181" s="256"/>
      <c r="G181" s="256"/>
      <c r="H181" s="258"/>
      <c r="I181" s="266">
        <v>30</v>
      </c>
      <c r="J181" s="266">
        <v>30</v>
      </c>
      <c r="K181" s="266">
        <v>30</v>
      </c>
      <c r="L181" s="266">
        <v>30</v>
      </c>
      <c r="M181" s="266">
        <v>30</v>
      </c>
      <c r="N181" s="266">
        <v>30</v>
      </c>
      <c r="O181" s="266">
        <v>30</v>
      </c>
      <c r="P181" s="266">
        <v>30</v>
      </c>
      <c r="Q181" s="266">
        <v>30</v>
      </c>
      <c r="R181" s="267">
        <v>30</v>
      </c>
      <c r="S181" s="247"/>
      <c r="T181" s="247"/>
      <c r="U181" s="247"/>
    </row>
    <row r="182" spans="1:21" x14ac:dyDescent="0.25">
      <c r="A182" s="259"/>
      <c r="B182" s="255" t="s">
        <v>62</v>
      </c>
      <c r="C182" s="256"/>
      <c r="D182" s="256"/>
      <c r="E182" s="256"/>
      <c r="F182" s="256"/>
      <c r="G182" s="256"/>
      <c r="H182" s="258"/>
      <c r="I182" s="266">
        <v>0</v>
      </c>
      <c r="J182" s="266">
        <v>0</v>
      </c>
      <c r="K182" s="266">
        <v>0</v>
      </c>
      <c r="L182" s="266">
        <v>0</v>
      </c>
      <c r="M182" s="266">
        <v>0</v>
      </c>
      <c r="N182" s="266">
        <v>0</v>
      </c>
      <c r="O182" s="266">
        <v>0</v>
      </c>
      <c r="P182" s="266">
        <v>0</v>
      </c>
      <c r="Q182" s="266">
        <v>0</v>
      </c>
      <c r="R182" s="267">
        <v>0</v>
      </c>
      <c r="S182" s="247"/>
      <c r="T182" s="247"/>
      <c r="U182" s="247"/>
    </row>
    <row r="183" spans="1:21" x14ac:dyDescent="0.25">
      <c r="A183" s="259"/>
      <c r="B183" s="255" t="s">
        <v>65</v>
      </c>
      <c r="C183" s="256"/>
      <c r="D183" s="256"/>
      <c r="E183" s="256"/>
      <c r="F183" s="256"/>
      <c r="G183" s="256"/>
      <c r="H183" s="258"/>
      <c r="I183" s="266">
        <v>0</v>
      </c>
      <c r="J183" s="266">
        <v>0</v>
      </c>
      <c r="K183" s="266">
        <v>0</v>
      </c>
      <c r="L183" s="266">
        <v>0</v>
      </c>
      <c r="M183" s="266">
        <v>0</v>
      </c>
      <c r="N183" s="266">
        <v>0</v>
      </c>
      <c r="O183" s="266">
        <v>0</v>
      </c>
      <c r="P183" s="266">
        <v>0</v>
      </c>
      <c r="Q183" s="266">
        <v>0</v>
      </c>
      <c r="R183" s="267">
        <v>0</v>
      </c>
      <c r="S183" s="247"/>
      <c r="T183" s="247"/>
      <c r="U183" s="247"/>
    </row>
    <row r="184" spans="1:21" x14ac:dyDescent="0.25">
      <c r="A184" s="259"/>
      <c r="B184" s="255"/>
      <c r="C184" s="256"/>
      <c r="D184" s="256"/>
      <c r="E184" s="256"/>
      <c r="F184" s="256"/>
      <c r="G184" s="256"/>
      <c r="H184" s="258"/>
      <c r="I184" s="256"/>
      <c r="J184" s="256"/>
      <c r="K184" s="256"/>
      <c r="L184" s="256"/>
      <c r="M184" s="256"/>
      <c r="N184" s="256"/>
      <c r="O184" s="256"/>
      <c r="P184" s="256"/>
      <c r="Q184" s="256"/>
      <c r="R184" s="257"/>
      <c r="S184" s="247"/>
      <c r="T184" s="247"/>
      <c r="U184" s="247"/>
    </row>
    <row r="185" spans="1:21" x14ac:dyDescent="0.25">
      <c r="A185" s="259"/>
      <c r="B185" s="255" t="s">
        <v>60</v>
      </c>
      <c r="C185" s="256"/>
      <c r="D185" s="256"/>
      <c r="E185" s="244"/>
      <c r="F185" s="244"/>
      <c r="G185" s="244"/>
      <c r="H185" s="245"/>
      <c r="I185" s="244" t="e">
        <f t="shared" ref="I185:R185" si="78">I181*I40/365</f>
        <v>#DIV/0!</v>
      </c>
      <c r="J185" s="244" t="e">
        <f t="shared" si="78"/>
        <v>#DIV/0!</v>
      </c>
      <c r="K185" s="244" t="e">
        <f t="shared" si="78"/>
        <v>#DIV/0!</v>
      </c>
      <c r="L185" s="244" t="e">
        <f t="shared" si="78"/>
        <v>#DIV/0!</v>
      </c>
      <c r="M185" s="244" t="e">
        <f t="shared" si="78"/>
        <v>#DIV/0!</v>
      </c>
      <c r="N185" s="244" t="e">
        <f t="shared" si="78"/>
        <v>#DIV/0!</v>
      </c>
      <c r="O185" s="244" t="e">
        <f t="shared" si="78"/>
        <v>#DIV/0!</v>
      </c>
      <c r="P185" s="244" t="e">
        <f t="shared" si="78"/>
        <v>#DIV/0!</v>
      </c>
      <c r="Q185" s="244" t="e">
        <f t="shared" si="78"/>
        <v>#DIV/0!</v>
      </c>
      <c r="R185" s="246" t="e">
        <f t="shared" si="78"/>
        <v>#DIV/0!</v>
      </c>
      <c r="S185" s="247"/>
      <c r="T185" s="247"/>
      <c r="U185" s="247"/>
    </row>
    <row r="186" spans="1:21" x14ac:dyDescent="0.25">
      <c r="A186" s="259"/>
      <c r="B186" s="255" t="s">
        <v>63</v>
      </c>
      <c r="C186" s="256"/>
      <c r="D186" s="256"/>
      <c r="E186" s="256"/>
      <c r="F186" s="256"/>
      <c r="G186" s="256"/>
      <c r="H186" s="258"/>
      <c r="I186" s="266">
        <v>0</v>
      </c>
      <c r="J186" s="266">
        <v>0</v>
      </c>
      <c r="K186" s="266">
        <v>0</v>
      </c>
      <c r="L186" s="266">
        <v>0</v>
      </c>
      <c r="M186" s="266">
        <v>0</v>
      </c>
      <c r="N186" s="266">
        <v>0</v>
      </c>
      <c r="O186" s="266">
        <v>0</v>
      </c>
      <c r="P186" s="266">
        <v>0</v>
      </c>
      <c r="Q186" s="266">
        <v>0</v>
      </c>
      <c r="R186" s="267">
        <v>0</v>
      </c>
      <c r="S186" s="247"/>
      <c r="T186" s="247"/>
      <c r="U186" s="247"/>
    </row>
    <row r="187" spans="1:21" x14ac:dyDescent="0.25">
      <c r="A187" s="259"/>
      <c r="B187" s="255" t="s">
        <v>66</v>
      </c>
      <c r="C187" s="256"/>
      <c r="D187" s="256"/>
      <c r="E187" s="256"/>
      <c r="F187" s="256"/>
      <c r="G187" s="256"/>
      <c r="H187" s="258"/>
      <c r="I187" s="266">
        <v>0</v>
      </c>
      <c r="J187" s="266">
        <v>0</v>
      </c>
      <c r="K187" s="266">
        <v>0</v>
      </c>
      <c r="L187" s="266">
        <v>0</v>
      </c>
      <c r="M187" s="266">
        <v>0</v>
      </c>
      <c r="N187" s="266">
        <v>0</v>
      </c>
      <c r="O187" s="266">
        <v>0</v>
      </c>
      <c r="P187" s="266">
        <v>0</v>
      </c>
      <c r="Q187" s="266">
        <v>0</v>
      </c>
      <c r="R187" s="267">
        <v>0</v>
      </c>
      <c r="S187" s="247"/>
      <c r="T187" s="247"/>
      <c r="U187" s="247"/>
    </row>
    <row r="188" spans="1:21" ht="14.25" thickBot="1" x14ac:dyDescent="0.3">
      <c r="A188" s="259"/>
      <c r="B188" s="275"/>
      <c r="C188" s="276"/>
      <c r="D188" s="276"/>
      <c r="E188" s="276"/>
      <c r="F188" s="276"/>
      <c r="G188" s="276"/>
      <c r="H188" s="276"/>
      <c r="I188" s="276"/>
      <c r="J188" s="276"/>
      <c r="K188" s="276"/>
      <c r="L188" s="276"/>
      <c r="M188" s="276"/>
      <c r="N188" s="276"/>
      <c r="O188" s="276"/>
      <c r="P188" s="276"/>
      <c r="Q188" s="276"/>
      <c r="R188" s="277"/>
      <c r="S188" s="247"/>
      <c r="T188" s="247"/>
      <c r="U188" s="247"/>
    </row>
    <row r="189" spans="1:21" x14ac:dyDescent="0.25">
      <c r="A189" s="259"/>
    </row>
    <row r="190" spans="1:21" x14ac:dyDescent="0.25">
      <c r="A190" s="259"/>
    </row>
    <row r="191" spans="1:21" x14ac:dyDescent="0.25">
      <c r="A191" s="259"/>
    </row>
    <row r="192" spans="1:21" ht="14.25" thickBot="1" x14ac:dyDescent="0.3">
      <c r="A192" s="259"/>
      <c r="S192" s="247"/>
      <c r="T192" s="247"/>
      <c r="U192" s="247"/>
    </row>
    <row r="193" spans="1:21" x14ac:dyDescent="0.25">
      <c r="A193" s="259"/>
      <c r="B193" s="251" t="s">
        <v>139</v>
      </c>
      <c r="C193" s="252"/>
      <c r="D193" s="252"/>
      <c r="E193" s="283"/>
      <c r="F193" s="283"/>
      <c r="G193" s="283"/>
      <c r="H193" s="284"/>
      <c r="I193" s="285">
        <v>43465</v>
      </c>
      <c r="J193" s="285">
        <f t="shared" ref="J193:R193" si="79">EOMONTH(I193,12)</f>
        <v>43830</v>
      </c>
      <c r="K193" s="285">
        <f t="shared" si="79"/>
        <v>44196</v>
      </c>
      <c r="L193" s="285">
        <f t="shared" si="79"/>
        <v>44561</v>
      </c>
      <c r="M193" s="285">
        <f t="shared" si="79"/>
        <v>44926</v>
      </c>
      <c r="N193" s="285">
        <f t="shared" si="79"/>
        <v>45291</v>
      </c>
      <c r="O193" s="285">
        <f t="shared" si="79"/>
        <v>45657</v>
      </c>
      <c r="P193" s="285">
        <f t="shared" si="79"/>
        <v>46022</v>
      </c>
      <c r="Q193" s="285">
        <f t="shared" si="79"/>
        <v>46387</v>
      </c>
      <c r="R193" s="286">
        <f t="shared" si="79"/>
        <v>46752</v>
      </c>
      <c r="S193" s="247"/>
      <c r="T193" s="247"/>
      <c r="U193" s="247"/>
    </row>
    <row r="194" spans="1:21" x14ac:dyDescent="0.25">
      <c r="A194" s="259"/>
      <c r="B194" s="255"/>
      <c r="C194" s="256"/>
      <c r="D194" s="256"/>
      <c r="E194" s="256"/>
      <c r="F194" s="256"/>
      <c r="G194" s="256"/>
      <c r="H194" s="258"/>
      <c r="I194" s="256"/>
      <c r="J194" s="256"/>
      <c r="K194" s="256"/>
      <c r="L194" s="256"/>
      <c r="M194" s="256"/>
      <c r="N194" s="256"/>
      <c r="O194" s="256"/>
      <c r="P194" s="256"/>
      <c r="Q194" s="256"/>
      <c r="R194" s="257"/>
      <c r="S194" s="247"/>
      <c r="T194" s="247"/>
      <c r="U194" s="247"/>
    </row>
    <row r="195" spans="1:21" x14ac:dyDescent="0.25">
      <c r="A195" s="259"/>
      <c r="B195" s="280" t="s">
        <v>139</v>
      </c>
      <c r="C195" s="256" t="s">
        <v>16</v>
      </c>
      <c r="D195" s="256"/>
      <c r="E195" s="266" t="e">
        <f>-E35*HLOOKUP($C195,'Unit Economics'!$A$4:$F$161, 'Unit Economics'!A25, FALSE)</f>
        <v>#DIV/0!</v>
      </c>
      <c r="F195" s="266" t="e">
        <f xml:space="preserve"> -IF((F35 - E35) &lt;0, 0, (F35-E35))*HLOOKUP($C195,'Unit Economics'!$A$4:$F$161, 'Unit Economics'!A25, FALSE)</f>
        <v>#DIV/0!</v>
      </c>
      <c r="G195" s="266" t="e">
        <f xml:space="preserve"> -IF((G35 - F35) &lt;0, 0, (G35-F35))*HLOOKUP($C195,'Unit Economics'!$A$4:$F$161, 'Unit Economics'!A25, FALSE)</f>
        <v>#DIV/0!</v>
      </c>
      <c r="H195" s="300" t="e">
        <f xml:space="preserve"> -IF((H35 - G35) &lt;0, 0, (H35-G35))*HLOOKUP($C195,'Unit Economics'!$A$4:$F$161, 'Unit Economics'!A25, FALSE)</f>
        <v>#DIV/0!</v>
      </c>
      <c r="I195" s="266" t="e">
        <f>SUM(E195:H195)</f>
        <v>#DIV/0!</v>
      </c>
      <c r="J195" s="266">
        <v>0</v>
      </c>
      <c r="K195" s="266">
        <v>0</v>
      </c>
      <c r="L195" s="266">
        <v>0</v>
      </c>
      <c r="M195" s="266">
        <v>0</v>
      </c>
      <c r="N195" s="266">
        <v>0</v>
      </c>
      <c r="O195" s="266">
        <v>0</v>
      </c>
      <c r="P195" s="266">
        <v>0</v>
      </c>
      <c r="Q195" s="266">
        <v>0</v>
      </c>
      <c r="R195" s="267">
        <v>0</v>
      </c>
      <c r="S195" s="247"/>
      <c r="T195" s="247"/>
      <c r="U195" s="247"/>
    </row>
    <row r="196" spans="1:21" x14ac:dyDescent="0.25">
      <c r="A196" s="259"/>
      <c r="B196" s="255"/>
      <c r="C196" s="256" t="s">
        <v>222</v>
      </c>
      <c r="D196" s="256"/>
      <c r="E196" s="266" t="e">
        <f>-E36*HLOOKUP($C196,'Unit Economics'!$A$4:$F$161, 'Unit Economics'!A25, FALSE)</f>
        <v>#DIV/0!</v>
      </c>
      <c r="F196" s="266" t="e">
        <f xml:space="preserve"> -IF((F36 - E36) &lt;0, 0, (F36-E36))*HLOOKUP($C196,'Unit Economics'!$A$4:$F$161, 'Unit Economics'!A25, FALSE)</f>
        <v>#DIV/0!</v>
      </c>
      <c r="G196" s="266" t="e">
        <f xml:space="preserve"> -IF((G36 - F36) &lt;0, 0, (G36-F36))*HLOOKUP($C196,'Unit Economics'!$A$4:$F$161, 'Unit Economics'!A25, FALSE)</f>
        <v>#DIV/0!</v>
      </c>
      <c r="H196" s="300" t="e">
        <f xml:space="preserve"> -IF((H36 - G36) &lt;0, 0, (H36-G36))*HLOOKUP($C196,'Unit Economics'!$A$4:$F$161, 'Unit Economics'!A25, FALSE)</f>
        <v>#DIV/0!</v>
      </c>
      <c r="I196" s="266" t="e">
        <f>SUM(E196:H196)</f>
        <v>#DIV/0!</v>
      </c>
      <c r="J196" s="266">
        <v>0</v>
      </c>
      <c r="K196" s="266">
        <v>0</v>
      </c>
      <c r="L196" s="266">
        <v>0</v>
      </c>
      <c r="M196" s="266">
        <v>0</v>
      </c>
      <c r="N196" s="266">
        <v>0</v>
      </c>
      <c r="O196" s="266">
        <v>0</v>
      </c>
      <c r="P196" s="266">
        <v>0</v>
      </c>
      <c r="Q196" s="266">
        <v>0</v>
      </c>
      <c r="R196" s="267">
        <v>0</v>
      </c>
      <c r="S196" s="247"/>
      <c r="T196" s="247"/>
      <c r="U196" s="247"/>
    </row>
    <row r="197" spans="1:21" x14ac:dyDescent="0.25">
      <c r="A197" s="259"/>
      <c r="B197" s="255"/>
      <c r="C197" s="344" t="s">
        <v>2</v>
      </c>
      <c r="D197" s="345"/>
      <c r="E197" s="346" t="e">
        <f>SUM(E195:E196)</f>
        <v>#DIV/0!</v>
      </c>
      <c r="F197" s="346" t="e">
        <f>SUM(F195:F196)</f>
        <v>#DIV/0!</v>
      </c>
      <c r="G197" s="346" t="e">
        <f>SUM(G195:G196)</f>
        <v>#DIV/0!</v>
      </c>
      <c r="H197" s="347" t="e">
        <f>SUM(H195:H196)</f>
        <v>#DIV/0!</v>
      </c>
      <c r="I197" s="346" t="e">
        <f>SUM(E197:H197)</f>
        <v>#DIV/0!</v>
      </c>
      <c r="J197" s="345"/>
      <c r="K197" s="345"/>
      <c r="L197" s="345"/>
      <c r="M197" s="345"/>
      <c r="N197" s="345"/>
      <c r="O197" s="345"/>
      <c r="P197" s="345"/>
      <c r="Q197" s="345"/>
      <c r="R197" s="348"/>
      <c r="S197" s="247"/>
      <c r="T197" s="247"/>
      <c r="U197" s="247"/>
    </row>
    <row r="198" spans="1:21" x14ac:dyDescent="0.25">
      <c r="A198" s="259"/>
      <c r="B198" s="255"/>
      <c r="C198" s="256"/>
      <c r="D198" s="256"/>
      <c r="E198" s="244"/>
      <c r="F198" s="244"/>
      <c r="G198" s="244"/>
      <c r="H198" s="245"/>
      <c r="I198" s="244"/>
      <c r="J198" s="244"/>
      <c r="K198" s="244"/>
      <c r="L198" s="244"/>
      <c r="M198" s="244"/>
      <c r="N198" s="244"/>
      <c r="O198" s="244"/>
      <c r="P198" s="244"/>
      <c r="Q198" s="244"/>
      <c r="R198" s="246"/>
      <c r="S198" s="247"/>
      <c r="T198" s="247"/>
      <c r="U198" s="247"/>
    </row>
    <row r="199" spans="1:21" x14ac:dyDescent="0.25">
      <c r="A199" s="259"/>
      <c r="B199" s="280"/>
      <c r="C199" s="271" t="s">
        <v>130</v>
      </c>
      <c r="D199" s="256"/>
      <c r="E199" s="266">
        <f>-'Unit Economics'!$I$62</f>
        <v>0</v>
      </c>
      <c r="F199" s="266">
        <v>0</v>
      </c>
      <c r="G199" s="266">
        <v>0</v>
      </c>
      <c r="H199" s="300">
        <v>0</v>
      </c>
      <c r="I199" s="266">
        <f>SUM(E199:H199)</f>
        <v>0</v>
      </c>
      <c r="J199" s="266">
        <v>0</v>
      </c>
      <c r="K199" s="266">
        <v>0</v>
      </c>
      <c r="L199" s="266">
        <v>0</v>
      </c>
      <c r="M199" s="266">
        <v>0</v>
      </c>
      <c r="N199" s="266">
        <v>0</v>
      </c>
      <c r="O199" s="266">
        <v>0</v>
      </c>
      <c r="P199" s="266">
        <v>0</v>
      </c>
      <c r="Q199" s="266">
        <v>0</v>
      </c>
      <c r="R199" s="267">
        <v>0</v>
      </c>
      <c r="S199" s="247"/>
      <c r="T199" s="247"/>
      <c r="U199" s="247"/>
    </row>
    <row r="200" spans="1:21" x14ac:dyDescent="0.25">
      <c r="A200" s="259"/>
      <c r="B200" s="280"/>
      <c r="C200" s="271"/>
      <c r="D200" s="256"/>
      <c r="E200" s="266"/>
      <c r="F200" s="266"/>
      <c r="G200" s="266"/>
      <c r="H200" s="300"/>
      <c r="I200" s="266"/>
      <c r="J200" s="266"/>
      <c r="K200" s="266"/>
      <c r="L200" s="266"/>
      <c r="M200" s="266"/>
      <c r="N200" s="266"/>
      <c r="O200" s="266"/>
      <c r="P200" s="266"/>
      <c r="Q200" s="266"/>
      <c r="R200" s="267"/>
      <c r="S200" s="247"/>
      <c r="T200" s="247"/>
      <c r="U200" s="247"/>
    </row>
    <row r="201" spans="1:21" x14ac:dyDescent="0.25">
      <c r="A201" s="259"/>
      <c r="B201" s="255"/>
      <c r="C201" s="256" t="s">
        <v>230</v>
      </c>
      <c r="D201" s="256"/>
      <c r="E201" s="266" t="e">
        <f>-E35 * HLOOKUP($C195,'Unit Economics'!$A$4:$F$161, 'Unit Economics'!$A$30, FALSE) * HLOOKUP($C195,'Unit Economics'!$A$4:$F$161, 'Unit Economics'!$A$42, FALSE)</f>
        <v>#DIV/0!</v>
      </c>
      <c r="F201" s="266" t="e">
        <f>-IF((F35 - E35) &lt;0, 0, (F35 - E35)) * HLOOKUP($C195,'Unit Economics'!$A$4:$F$161, 'Unit Economics'!$A$30, FALSE) * HLOOKUP($C195,'Unit Economics'!$A$4:$F$161, 'Unit Economics'!$A$42, FALSE)</f>
        <v>#DIV/0!</v>
      </c>
      <c r="G201" s="266" t="e">
        <f>-IF((G35 - F35) &lt;0, 0, (G35 - F35)) * HLOOKUP($C195,'Unit Economics'!$A$4:$F$161, 'Unit Economics'!$A$30, FALSE) * HLOOKUP($C195,'Unit Economics'!$A$4:$F$161, 'Unit Economics'!$A$42, FALSE)</f>
        <v>#DIV/0!</v>
      </c>
      <c r="H201" s="300" t="e">
        <f>-IF((H35 - G35) &lt;0, 0, (H35 - G35)) * HLOOKUP($C195,'Unit Economics'!$A$4:$F$161, 'Unit Economics'!$A$30, FALSE) * HLOOKUP($C195,'Unit Economics'!$A$4:$F$161, 'Unit Economics'!$A$42, FALSE)</f>
        <v>#DIV/0!</v>
      </c>
      <c r="I201" s="266" t="e">
        <f>SUM(E201:H201)</f>
        <v>#DIV/0!</v>
      </c>
      <c r="J201" s="266">
        <v>0</v>
      </c>
      <c r="K201" s="266">
        <v>0</v>
      </c>
      <c r="L201" s="266">
        <v>0</v>
      </c>
      <c r="M201" s="266">
        <v>0</v>
      </c>
      <c r="N201" s="266">
        <v>0</v>
      </c>
      <c r="O201" s="266">
        <v>0</v>
      </c>
      <c r="P201" s="266">
        <v>0</v>
      </c>
      <c r="Q201" s="266">
        <v>0</v>
      </c>
      <c r="R201" s="267">
        <v>0</v>
      </c>
      <c r="S201" s="247"/>
      <c r="T201" s="247"/>
      <c r="U201" s="247"/>
    </row>
    <row r="202" spans="1:21" x14ac:dyDescent="0.25">
      <c r="A202" s="259"/>
      <c r="B202" s="255"/>
      <c r="C202" s="256" t="s">
        <v>231</v>
      </c>
      <c r="D202" s="256"/>
      <c r="E202" s="266" t="e">
        <f>-E36 * HLOOKUP($C196,'Unit Economics'!$A$4:$F$161, 'Unit Economics'!$A$30, FALSE) * HLOOKUP($C196,'Unit Economics'!$A$4:$F$161, 'Unit Economics'!$A$42, FALSE)</f>
        <v>#DIV/0!</v>
      </c>
      <c r="F202" s="266" t="e">
        <f>-IF((F36 - E36) &lt;0, 0, (F36 - E36)) * HLOOKUP($C196,'Unit Economics'!$A$4:$F$161, 'Unit Economics'!$A$30, FALSE) * HLOOKUP($C196,'Unit Economics'!$A$4:$F$161, 'Unit Economics'!$A$42, FALSE)</f>
        <v>#DIV/0!</v>
      </c>
      <c r="G202" s="266" t="e">
        <f>-IF((G36 - F36) &lt;0, 0, (G36 - F36)) * HLOOKUP($C196,'Unit Economics'!$A$4:$F$161, 'Unit Economics'!$A$30, FALSE) * HLOOKUP($C196,'Unit Economics'!$A$4:$F$161, 'Unit Economics'!$A$42, FALSE)</f>
        <v>#DIV/0!</v>
      </c>
      <c r="H202" s="300" t="e">
        <f>-IF((H36 - G36) &lt;0, 0, (H36 - G36)) * HLOOKUP($C196,'Unit Economics'!$A$4:$F$161, 'Unit Economics'!$A$30, FALSE) * HLOOKUP($C196,'Unit Economics'!$A$4:$F$161, 'Unit Economics'!$A$42, FALSE)</f>
        <v>#DIV/0!</v>
      </c>
      <c r="I202" s="266" t="e">
        <f>SUM(E202:H202)</f>
        <v>#DIV/0!</v>
      </c>
      <c r="J202" s="266">
        <v>0</v>
      </c>
      <c r="K202" s="266">
        <v>0</v>
      </c>
      <c r="L202" s="266">
        <v>0</v>
      </c>
      <c r="M202" s="266">
        <v>0</v>
      </c>
      <c r="N202" s="266">
        <v>0</v>
      </c>
      <c r="O202" s="266">
        <v>0</v>
      </c>
      <c r="P202" s="266">
        <v>0</v>
      </c>
      <c r="Q202" s="266">
        <v>0</v>
      </c>
      <c r="R202" s="267">
        <v>0</v>
      </c>
      <c r="S202" s="247"/>
      <c r="T202" s="247"/>
      <c r="U202" s="247"/>
    </row>
    <row r="203" spans="1:21" x14ac:dyDescent="0.25">
      <c r="A203" s="259"/>
      <c r="B203" s="255"/>
      <c r="C203" s="344" t="s">
        <v>2</v>
      </c>
      <c r="D203" s="345"/>
      <c r="E203" s="346" t="e">
        <f>SUM(E201:E202)</f>
        <v>#DIV/0!</v>
      </c>
      <c r="F203" s="346" t="e">
        <f>SUM(F201:F202)</f>
        <v>#DIV/0!</v>
      </c>
      <c r="G203" s="346" t="e">
        <f>SUM(G201:G202)</f>
        <v>#DIV/0!</v>
      </c>
      <c r="H203" s="347" t="e">
        <f>SUM(H201:H202)</f>
        <v>#DIV/0!</v>
      </c>
      <c r="I203" s="346" t="e">
        <f>SUM(E203:H203)</f>
        <v>#DIV/0!</v>
      </c>
      <c r="J203" s="345"/>
      <c r="K203" s="345"/>
      <c r="L203" s="345"/>
      <c r="M203" s="345"/>
      <c r="N203" s="345"/>
      <c r="O203" s="345"/>
      <c r="P203" s="345"/>
      <c r="Q203" s="345"/>
      <c r="R203" s="348"/>
      <c r="S203" s="247"/>
      <c r="T203" s="247"/>
      <c r="U203" s="247"/>
    </row>
    <row r="204" spans="1:21" x14ac:dyDescent="0.25">
      <c r="A204" s="259"/>
      <c r="B204" s="255"/>
      <c r="C204" s="256"/>
      <c r="D204" s="256"/>
      <c r="E204" s="244"/>
      <c r="F204" s="244"/>
      <c r="G204" s="244"/>
      <c r="H204" s="245"/>
      <c r="I204" s="244"/>
      <c r="J204" s="244"/>
      <c r="K204" s="244"/>
      <c r="L204" s="244"/>
      <c r="M204" s="244"/>
      <c r="N204" s="244"/>
      <c r="O204" s="244"/>
      <c r="P204" s="244"/>
      <c r="Q204" s="244"/>
      <c r="R204" s="246"/>
      <c r="S204" s="247"/>
      <c r="T204" s="247"/>
      <c r="U204" s="247"/>
    </row>
    <row r="205" spans="1:21" x14ac:dyDescent="0.25">
      <c r="A205" s="259"/>
      <c r="B205" s="280" t="s">
        <v>37</v>
      </c>
      <c r="C205" s="256" t="s">
        <v>140</v>
      </c>
      <c r="D205" s="256"/>
      <c r="E205" s="266" t="e">
        <f>(E197 / HLOOKUP($C195, 'Unit Economics'!$A$4:$F$161, 'Unit Economics'!$A56, FALSE) ) / 4</f>
        <v>#DIV/0!</v>
      </c>
      <c r="F205" s="266" t="e">
        <f>(SUM($E$197:F$197) / HLOOKUP($C38, 'Unit Economics'!$A$4:$F$161, 'Unit Economics'!$A56, FALSE) ) / 4</f>
        <v>#DIV/0!</v>
      </c>
      <c r="G205" s="266" t="e">
        <f>(SUM($E$197:G$197) / HLOOKUP($C38, 'Unit Economics'!$A$4:$F$161, 'Unit Economics'!$A56, FALSE) ) / 4</f>
        <v>#DIV/0!</v>
      </c>
      <c r="H205" s="300" t="e">
        <f>(SUM($E$197:H$197) / HLOOKUP($C38, 'Unit Economics'!$A$4:$F$161, 'Unit Economics'!$A56, FALSE) ) / 4</f>
        <v>#DIV/0!</v>
      </c>
      <c r="I205" s="266" t="e">
        <f>SUM(E205:H205)</f>
        <v>#DIV/0!</v>
      </c>
      <c r="J205" s="266" t="e">
        <f>H205*4</f>
        <v>#DIV/0!</v>
      </c>
      <c r="K205" s="266" t="e">
        <f>J205</f>
        <v>#DIV/0!</v>
      </c>
      <c r="L205" s="266" t="e">
        <f t="shared" ref="L205:R205" si="80">K205</f>
        <v>#DIV/0!</v>
      </c>
      <c r="M205" s="266" t="e">
        <f t="shared" si="80"/>
        <v>#DIV/0!</v>
      </c>
      <c r="N205" s="266" t="e">
        <f t="shared" si="80"/>
        <v>#DIV/0!</v>
      </c>
      <c r="O205" s="266" t="e">
        <f t="shared" si="80"/>
        <v>#DIV/0!</v>
      </c>
      <c r="P205" s="266" t="e">
        <f t="shared" si="80"/>
        <v>#DIV/0!</v>
      </c>
      <c r="Q205" s="266" t="e">
        <f t="shared" si="80"/>
        <v>#DIV/0!</v>
      </c>
      <c r="R205" s="267" t="e">
        <f t="shared" si="80"/>
        <v>#DIV/0!</v>
      </c>
      <c r="S205" s="247"/>
      <c r="T205" s="247"/>
      <c r="U205" s="247"/>
    </row>
    <row r="206" spans="1:21" x14ac:dyDescent="0.25">
      <c r="A206" s="259"/>
      <c r="B206" s="255"/>
      <c r="C206" s="256" t="s">
        <v>57</v>
      </c>
      <c r="D206" s="256"/>
      <c r="E206" s="266">
        <f>'Unit Economics'!$I$64/4</f>
        <v>0</v>
      </c>
      <c r="F206" s="266">
        <f>'Unit Economics'!$I$64/4</f>
        <v>0</v>
      </c>
      <c r="G206" s="266">
        <f>'Unit Economics'!$I$64/4</f>
        <v>0</v>
      </c>
      <c r="H206" s="300">
        <f>'Unit Economics'!$I$64/4</f>
        <v>0</v>
      </c>
      <c r="I206" s="266">
        <f>SUM(E206:H206)</f>
        <v>0</v>
      </c>
      <c r="J206" s="266">
        <f>H206*4</f>
        <v>0</v>
      </c>
      <c r="K206" s="266">
        <f>J206</f>
        <v>0</v>
      </c>
      <c r="L206" s="266">
        <f t="shared" ref="L206:R206" si="81">K206</f>
        <v>0</v>
      </c>
      <c r="M206" s="266">
        <f t="shared" si="81"/>
        <v>0</v>
      </c>
      <c r="N206" s="266">
        <f t="shared" si="81"/>
        <v>0</v>
      </c>
      <c r="O206" s="266">
        <f t="shared" si="81"/>
        <v>0</v>
      </c>
      <c r="P206" s="266">
        <f t="shared" si="81"/>
        <v>0</v>
      </c>
      <c r="Q206" s="266">
        <f t="shared" si="81"/>
        <v>0</v>
      </c>
      <c r="R206" s="267">
        <f t="shared" si="81"/>
        <v>0</v>
      </c>
      <c r="S206" s="247"/>
      <c r="T206" s="247"/>
      <c r="U206" s="247"/>
    </row>
    <row r="207" spans="1:21" x14ac:dyDescent="0.25">
      <c r="A207" s="259"/>
      <c r="B207" s="255"/>
      <c r="C207" s="271" t="s">
        <v>156</v>
      </c>
      <c r="D207" s="256"/>
      <c r="E207" s="266" t="e">
        <f>(E203 / HLOOKUP($C38, 'Unit Economics'!$A$4:$F$161, 'Unit Economics'!$A57, FALSE) ) / 4</f>
        <v>#DIV/0!</v>
      </c>
      <c r="F207" s="266" t="e">
        <f>(SUM($E$203:F$203) / HLOOKUP($C38, 'Unit Economics'!$A$4:$F$161, 'Unit Economics'!$A57, FALSE) ) / 4</f>
        <v>#DIV/0!</v>
      </c>
      <c r="G207" s="266" t="e">
        <f>(SUM($E$203:G$203) / HLOOKUP($C38, 'Unit Economics'!$A$4:$F$161, 'Unit Economics'!$A57, FALSE) ) / 4</f>
        <v>#DIV/0!</v>
      </c>
      <c r="H207" s="300" t="e">
        <f>(SUM($E$203:H$203) / HLOOKUP($C38, 'Unit Economics'!$A$4:$F$161, 'Unit Economics'!$A57, FALSE) ) / 4</f>
        <v>#DIV/0!</v>
      </c>
      <c r="I207" s="266" t="e">
        <f>SUM(E207:H207)</f>
        <v>#DIV/0!</v>
      </c>
      <c r="J207" s="266" t="e">
        <f>H207*4</f>
        <v>#DIV/0!</v>
      </c>
      <c r="K207" s="266" t="e">
        <f>J207</f>
        <v>#DIV/0!</v>
      </c>
      <c r="L207" s="266" t="e">
        <f t="shared" ref="L207" si="82">K207</f>
        <v>#DIV/0!</v>
      </c>
      <c r="M207" s="266" t="e">
        <f t="shared" ref="M207" si="83">L207</f>
        <v>#DIV/0!</v>
      </c>
      <c r="N207" s="266" t="e">
        <f t="shared" ref="N207" si="84">M207</f>
        <v>#DIV/0!</v>
      </c>
      <c r="O207" s="266" t="e">
        <f t="shared" ref="O207" si="85">N207</f>
        <v>#DIV/0!</v>
      </c>
      <c r="P207" s="266" t="e">
        <f t="shared" ref="P207" si="86">O207</f>
        <v>#DIV/0!</v>
      </c>
      <c r="Q207" s="266" t="e">
        <f t="shared" ref="Q207" si="87">P207</f>
        <v>#DIV/0!</v>
      </c>
      <c r="R207" s="267" t="e">
        <f t="shared" ref="R207" si="88">Q207</f>
        <v>#DIV/0!</v>
      </c>
      <c r="S207" s="247"/>
      <c r="T207" s="247"/>
      <c r="U207" s="247"/>
    </row>
    <row r="208" spans="1:21" x14ac:dyDescent="0.25">
      <c r="A208" s="259"/>
      <c r="B208" s="255"/>
      <c r="C208" s="256"/>
      <c r="D208" s="256"/>
      <c r="E208" s="256"/>
      <c r="F208" s="256"/>
      <c r="G208" s="256"/>
      <c r="H208" s="256"/>
      <c r="I208" s="266"/>
      <c r="J208" s="266"/>
      <c r="K208" s="266"/>
      <c r="L208" s="266"/>
      <c r="M208" s="266"/>
      <c r="N208" s="266"/>
      <c r="O208" s="266"/>
      <c r="P208" s="266"/>
      <c r="Q208" s="266"/>
      <c r="R208" s="267"/>
      <c r="S208" s="247"/>
      <c r="T208" s="247"/>
      <c r="U208" s="247"/>
    </row>
    <row r="209" spans="1:21" x14ac:dyDescent="0.25">
      <c r="A209" s="259"/>
      <c r="B209" s="255"/>
      <c r="C209" s="256"/>
      <c r="D209" s="256"/>
      <c r="E209" s="256"/>
      <c r="F209" s="256"/>
      <c r="G209" s="256"/>
      <c r="H209" s="256"/>
      <c r="I209" s="266"/>
      <c r="J209" s="266"/>
      <c r="K209" s="266"/>
      <c r="L209" s="266"/>
      <c r="M209" s="266"/>
      <c r="N209" s="266"/>
      <c r="O209" s="266"/>
      <c r="P209" s="266"/>
      <c r="Q209" s="266"/>
      <c r="R209" s="267"/>
      <c r="S209" s="247"/>
      <c r="T209" s="247"/>
      <c r="U209" s="247"/>
    </row>
    <row r="210" spans="1:21" ht="14.25" thickBot="1" x14ac:dyDescent="0.3">
      <c r="A210" s="259"/>
      <c r="B210" s="275"/>
      <c r="C210" s="276"/>
      <c r="D210" s="276"/>
      <c r="E210" s="276"/>
      <c r="F210" s="276"/>
      <c r="G210" s="276"/>
      <c r="H210" s="276"/>
      <c r="I210" s="276"/>
      <c r="J210" s="276"/>
      <c r="K210" s="276"/>
      <c r="L210" s="276"/>
      <c r="M210" s="276"/>
      <c r="N210" s="276"/>
      <c r="O210" s="276"/>
      <c r="P210" s="276"/>
      <c r="Q210" s="276"/>
      <c r="R210" s="277"/>
      <c r="S210" s="247"/>
      <c r="T210" s="247"/>
      <c r="U210" s="247"/>
    </row>
    <row r="211" spans="1:21" x14ac:dyDescent="0.25"/>
    <row r="212" spans="1:21" x14ac:dyDescent="0.25"/>
  </sheetData>
  <dataValidations count="1">
    <dataValidation type="list" allowBlank="1" showInputMessage="1" showErrorMessage="1" sqref="C62">
      <formula1>"Yes, No"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Overview</vt:lpstr>
      <vt:lpstr>Input Technical Data</vt:lpstr>
      <vt:lpstr>Input- Cost</vt:lpstr>
      <vt:lpstr>Shops calc</vt:lpstr>
      <vt:lpstr>Unit Economics</vt:lpstr>
      <vt:lpstr>Financials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abumsg@hotmail.com</dc:creator>
  <cp:lastModifiedBy>REA</cp:lastModifiedBy>
  <dcterms:created xsi:type="dcterms:W3CDTF">2017-10-02T17:01:50Z</dcterms:created>
  <dcterms:modified xsi:type="dcterms:W3CDTF">2018-06-07T20:25:50Z</dcterms:modified>
</cp:coreProperties>
</file>